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grub\Downloads\"/>
    </mc:Choice>
  </mc:AlternateContent>
  <xr:revisionPtr revIDLastSave="0" documentId="8_{C84AD1B9-4347-4B44-A92D-053FCAAD0D53}" xr6:coauthVersionLast="41" xr6:coauthVersionMax="41" xr10:uidLastSave="{00000000-0000-0000-0000-000000000000}"/>
  <bookViews>
    <workbookView xWindow="-110" yWindow="-110" windowWidth="19420" windowHeight="10420" tabRatio="741"/>
  </bookViews>
  <sheets>
    <sheet name="Январь" sheetId="1" r:id="rId1"/>
    <sheet name="Февраль" sheetId="6" r:id="rId2"/>
    <sheet name="Март" sheetId="7" r:id="rId3"/>
    <sheet name="Апрель" sheetId="8" r:id="rId4"/>
    <sheet name="Май" sheetId="9" r:id="rId5"/>
    <sheet name="Июнь" sheetId="10" r:id="rId6"/>
    <sheet name="Июль" sheetId="11" r:id="rId7"/>
    <sheet name="Август" sheetId="12" r:id="rId8"/>
    <sheet name="Сентябрь" sheetId="13" r:id="rId9"/>
    <sheet name="Октябрь" sheetId="14" r:id="rId10"/>
    <sheet name="Ноябрь" sheetId="15" r:id="rId11"/>
    <sheet name="Декабрь" sheetId="16" r:id="rId12"/>
  </sheets>
  <definedNames>
    <definedName name="АвгВс1">DATE(КалендарныйГод,8,1)-WEEKDAY(DATE(КалендарныйГод,8,1))+1</definedName>
    <definedName name="АпрВс1">DATE(КалендарныйГод,4,1)-WEEKDAY(DATE(КалендарныйГод,4,1))+1</definedName>
    <definedName name="ДекВс1">DATE(КалендарныйГод,12,1)-WEEKDAY(DATE(КалендарныйГод,12,1))+1</definedName>
    <definedName name="ИюлВс1">DATE(КалендарныйГод,7,1)-WEEKDAY(DATE(КалендарныйГод,7,1))+1</definedName>
    <definedName name="ИюнВс1">DATE(КалендарныйГод,6,1)-WEEKDAY(DATE(КалендарныйГод,6,1))+1</definedName>
    <definedName name="КалендарныйГод">Январь!$N$2</definedName>
    <definedName name="КоличествоДней" localSheetId="7">Август!$L$4:$L$33</definedName>
    <definedName name="КоличествоДней" localSheetId="3">Апрель!$L$4:$L$33</definedName>
    <definedName name="КоличествоДней" localSheetId="11">Декабрь!$L$4:$L$33</definedName>
    <definedName name="КоличествоДней" localSheetId="6">Июль!$L$4:$L$33</definedName>
    <definedName name="КоличествоДней" localSheetId="5">Июнь!$L$4:$L$33</definedName>
    <definedName name="КоличествоДней" localSheetId="4">Май!$L$4:$L$33</definedName>
    <definedName name="КоличествоДней" localSheetId="2">Март!$L$4:$L$33</definedName>
    <definedName name="КоличествоДней" localSheetId="10">Ноябрь!$L$4:$L$33</definedName>
    <definedName name="КоличествоДней" localSheetId="9">Октябрь!$L$4:$L$33</definedName>
    <definedName name="КоличествоДней" localSheetId="8">Сентябрь!$L$4:$L$33</definedName>
    <definedName name="КоличествоДней" localSheetId="1">Февраль!$L$4:$L$33</definedName>
    <definedName name="КоличествоДней">Январь!$L$4:$L$33</definedName>
    <definedName name="МайВс1">DATE(КалендарныйГод,5,1)-WEEKDAY(DATE(КалендарныйГод,5,1))+1</definedName>
    <definedName name="МарВс1">DATE(КалендарныйГод,3,1)-WEEKDAY(DATE(КалендарныйГод,3,1))+1</definedName>
    <definedName name="НояВс1">DATE(КалендарныйГод,11,1)-WEEKDAY(DATE(КалендарныйГод,11,1))+1</definedName>
    <definedName name="_xlnm.Print_Area" localSheetId="7">Август!$A$1:$N$33</definedName>
    <definedName name="_xlnm.Print_Area" localSheetId="3">Апрель!$A$1:$N$33</definedName>
    <definedName name="_xlnm.Print_Area" localSheetId="11">Декабрь!$A$1:$N$33</definedName>
    <definedName name="_xlnm.Print_Area" localSheetId="6">Июль!$A$1:$N$33</definedName>
    <definedName name="_xlnm.Print_Area" localSheetId="5">Июнь!$A$1:$N$33</definedName>
    <definedName name="_xlnm.Print_Area" localSheetId="4">Май!$A$1:$N$33</definedName>
    <definedName name="_xlnm.Print_Area" localSheetId="2">Март!$A$1:$N$33</definedName>
    <definedName name="_xlnm.Print_Area" localSheetId="10">Ноябрь!$A$1:$N$33</definedName>
    <definedName name="_xlnm.Print_Area" localSheetId="9">Октябрь!$A$1:$N$33</definedName>
    <definedName name="_xlnm.Print_Area" localSheetId="8">Сентябрь!$A$1:$N$33</definedName>
    <definedName name="_xlnm.Print_Area" localSheetId="1">Февраль!$A$1:$N$33</definedName>
    <definedName name="_xlnm.Print_Area" localSheetId="0">Январь!$A$1:$N$33</definedName>
    <definedName name="ОктВс1">DATE(КалендарныйГод,10,1)-WEEKDAY(DATE(КалендарныйГод,10,1))+1</definedName>
    <definedName name="СенВс1">DATE(КалендарныйГод,9,1)-WEEKDAY(DATE(КалендарныйГод,9,1))+1</definedName>
    <definedName name="ТаблицаВажныхДат" localSheetId="7">Август!$L$4:$M$8</definedName>
    <definedName name="ТаблицаВажныхДат" localSheetId="3">Апрель!$L$4:$M$8</definedName>
    <definedName name="ТаблицаВажныхДат" localSheetId="11">Декабрь!$L$4:$M$8</definedName>
    <definedName name="ТаблицаВажныхДат" localSheetId="6">Июль!$L$4:$M$8</definedName>
    <definedName name="ТаблицаВажныхДат" localSheetId="5">Июнь!$L$4:$M$8</definedName>
    <definedName name="ТаблицаВажныхДат" localSheetId="4">Май!$L$4:$M$8</definedName>
    <definedName name="ТаблицаВажныхДат" localSheetId="2">Март!$L$4:$M$8</definedName>
    <definedName name="ТаблицаВажныхДат" localSheetId="10">Ноябрь!$L$4:$M$8</definedName>
    <definedName name="ТаблицаВажныхДат" localSheetId="9">Октябрь!$L$4:$M$8</definedName>
    <definedName name="ТаблицаВажныхДат" localSheetId="8">Сентябрь!$L$4:$M$8</definedName>
    <definedName name="ТаблицаВажныхДат" localSheetId="1">Февраль!$L$4:$M$8</definedName>
    <definedName name="ТаблицаВажныхДат">Январь!$L$4:$M$8</definedName>
    <definedName name="ФевВс1">DATE(КалендарныйГод,2,1)-WEEKDAY(DATE(КалендарныйГод,2,1))+1</definedName>
    <definedName name="ЯнвВс1">DATE(КалендарныйГод,1,1)-WEEKDAY(DATE(КалендарныйГод,1,1))+1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6" l="1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8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H4" i="1"/>
  <c r="G4" i="1"/>
  <c r="F4" i="1"/>
  <c r="E4" i="1"/>
  <c r="D4" i="1"/>
  <c r="C4" i="1"/>
  <c r="N2" i="7"/>
  <c r="N2" i="8"/>
  <c r="N2" i="9"/>
  <c r="N2" i="10"/>
  <c r="N2" i="11"/>
  <c r="N2" i="12"/>
  <c r="N2" i="13"/>
  <c r="N2" i="14"/>
  <c r="N2" i="15"/>
  <c r="N2" i="16"/>
  <c r="N2" i="6"/>
</calcChain>
</file>

<file path=xl/sharedStrings.xml><?xml version="1.0" encoding="utf-8"?>
<sst xmlns="http://schemas.openxmlformats.org/spreadsheetml/2006/main" count="184" uniqueCount="25">
  <si>
    <t>ЯНВ</t>
  </si>
  <si>
    <t>РАСПИСАНИЕ НА НЕДЕЛЮ</t>
  </si>
  <si>
    <t>ПН</t>
  </si>
  <si>
    <t>ВТ</t>
  </si>
  <si>
    <t>СР</t>
  </si>
  <si>
    <t>ЧТ</t>
  </si>
  <si>
    <t>ПТ</t>
  </si>
  <si>
    <t>СБ</t>
  </si>
  <si>
    <t>ОКТ</t>
  </si>
  <si>
    <t>НОЯ</t>
  </si>
  <si>
    <t>ДЕК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</si>
  <si>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</si>
  <si>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</si>
  <si>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</si>
  <si>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</si>
  <si>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</si>
  <si>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</si>
  <si>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</si>
  <si>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</si>
  <si>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BC</t>
  </si>
  <si>
    <t>СОБЫТИЯ</t>
  </si>
  <si>
    <t>Поездка на экскурсию</t>
  </si>
  <si>
    <t>День рождения мамы</t>
  </si>
  <si>
    <t>День рождения папы</t>
  </si>
  <si>
    <t>День рождения бабушки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</si>
</sst>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"/>
  </numFmts>
  <fonts count="20" x14ac:knownFonts="1">
    <font>
      <sz val="10"/>
      <color theme="1"/>
      <name val="Arial"/>
      <family val="2"/>
      <scheme val="minor"/>
    </font>
    <font>
      <sz val="8"/>
      <name val="Arial"/>
      <family val="2"/>
    </font>
    <font>
      <b/>
      <sz val="24"/>
      <color theme="4"/>
      <name val="Arial"/>
      <family val="2"/>
      <scheme val="minor"/>
    </font>
    <font>
      <b/>
      <sz val="17"/>
      <color theme="4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1"/>
      <name val="Arial"/>
      <family val="2"/>
      <scheme val="major"/>
    </font>
    <font>
      <sz val="10"/>
      <color theme="0"/>
      <name val="Arial"/>
      <family val="2"/>
      <scheme val="minor"/>
    </font>
    <font>
      <sz val="8.5"/>
      <color theme="1"/>
      <name val="Arial"/>
      <family val="2"/>
      <scheme val="minor"/>
    </font>
    <font>
      <b/>
      <sz val="8.5"/>
      <color theme="1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sz val="12"/>
      <color theme="4"/>
      <name val="Arial"/>
      <family val="2"/>
      <scheme val="major"/>
    </font>
    <font>
      <sz val="12"/>
      <color rgb="FF002060"/>
      <name val="Arial"/>
      <family val="2"/>
      <scheme val="minor"/>
    </font>
    <font>
      <b/>
      <sz val="10.5"/>
      <name val="Arial"/>
      <family val="2"/>
      <scheme val="minor"/>
    </font>
    <font>
      <b/>
      <sz val="10"/>
      <color rgb="FF39B5D4"/>
      <name val="Arial"/>
      <family val="2"/>
      <scheme val="minor"/>
    </font>
    <font>
      <b/>
      <sz val="10"/>
      <color theme="4"/>
      <name val="Arial"/>
      <family val="2"/>
      <scheme val="min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b/>
      <sz val="8.5"/>
      <color theme="1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/>
      <right style="thin">
        <color theme="4" tint="0.79992065187536243"/>
      </right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4" tint="0.79998168889431442"/>
      </bottom>
      <diagonal/>
    </border>
    <border>
      <left/>
      <right/>
      <top/>
      <bottom style="thin">
        <color theme="4" tint="0.79995117038483843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Protection="0">
      <alignment textRotation="90"/>
    </xf>
  </cellStyleXfs>
  <cellXfs count="81">
    <xf numFmtId="0" fontId="0" fillId="0" borderId="0" xfId="0"/>
    <xf numFmtId="0" fontId="0" fillId="0" borderId="0" xfId="0" applyFont="1"/>
    <xf numFmtId="0" fontId="5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indent="1"/>
    </xf>
    <xf numFmtId="0" fontId="0" fillId="0" borderId="2" xfId="0" applyFont="1" applyBorder="1"/>
    <xf numFmtId="0" fontId="0" fillId="0" borderId="3" xfId="0" applyFont="1" applyBorder="1"/>
    <xf numFmtId="0" fontId="7" fillId="3" borderId="4" xfId="0" applyFont="1" applyFill="1" applyBorder="1" applyAlignment="1">
      <alignment horizontal="left" vertical="top" indent="1"/>
    </xf>
    <xf numFmtId="0" fontId="7" fillId="3" borderId="5" xfId="0" applyFont="1" applyFill="1" applyBorder="1" applyAlignment="1">
      <alignment horizontal="left" vertical="top" indent="1"/>
    </xf>
    <xf numFmtId="49" fontId="8" fillId="3" borderId="1" xfId="0" applyNumberFormat="1" applyFont="1" applyFill="1" applyBorder="1" applyAlignment="1">
      <alignment horizontal="left" indent="1"/>
    </xf>
    <xf numFmtId="49" fontId="8" fillId="3" borderId="6" xfId="0" applyNumberFormat="1" applyFont="1" applyFill="1" applyBorder="1" applyAlignment="1">
      <alignment horizontal="left" indent="1"/>
    </xf>
    <xf numFmtId="164" fontId="9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textRotation="90"/>
    </xf>
    <xf numFmtId="0" fontId="11" fillId="0" borderId="0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 textRotation="90"/>
    </xf>
    <xf numFmtId="164" fontId="13" fillId="0" borderId="8" xfId="0" applyNumberFormat="1" applyFont="1" applyFill="1" applyBorder="1" applyAlignment="1">
      <alignment horizontal="right" vertic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64" fontId="11" fillId="0" borderId="8" xfId="0" applyNumberFormat="1" applyFont="1" applyFill="1" applyBorder="1" applyAlignment="1">
      <alignment horizontal="center"/>
    </xf>
    <xf numFmtId="0" fontId="0" fillId="0" borderId="12" xfId="0" applyFont="1" applyBorder="1"/>
    <xf numFmtId="0" fontId="0" fillId="0" borderId="13" xfId="0" applyFont="1" applyBorder="1"/>
    <xf numFmtId="164" fontId="14" fillId="0" borderId="8" xfId="0" applyNumberFormat="1" applyFont="1" applyFill="1" applyBorder="1" applyAlignment="1">
      <alignment horizontal="left" vertical="center" wrapText="1" indent="1"/>
    </xf>
    <xf numFmtId="0" fontId="0" fillId="0" borderId="14" xfId="0" applyFont="1" applyBorder="1"/>
    <xf numFmtId="0" fontId="15" fillId="0" borderId="0" xfId="0" applyFont="1" applyAlignment="1">
      <alignment vertical="center" wrapText="1"/>
    </xf>
    <xf numFmtId="0" fontId="2" fillId="0" borderId="15" xfId="1" applyFill="1" applyBorder="1" applyAlignment="1">
      <alignment vertical="top"/>
    </xf>
    <xf numFmtId="0" fontId="2" fillId="0" borderId="16" xfId="1" applyFill="1" applyBorder="1" applyAlignment="1">
      <alignment vertical="top"/>
    </xf>
    <xf numFmtId="0" fontId="2" fillId="0" borderId="15" xfId="1" applyFill="1" applyBorder="1" applyAlignment="1">
      <alignment vertical="center" textRotation="90"/>
    </xf>
    <xf numFmtId="0" fontId="2" fillId="0" borderId="16" xfId="1" applyFill="1" applyBorder="1" applyAlignment="1">
      <alignment vertical="center" textRotation="90"/>
    </xf>
    <xf numFmtId="0" fontId="0" fillId="0" borderId="17" xfId="0" applyFont="1" applyBorder="1"/>
    <xf numFmtId="0" fontId="17" fillId="0" borderId="10" xfId="0" applyFont="1" applyBorder="1" applyAlignment="1">
      <alignment horizontal="left"/>
    </xf>
    <xf numFmtId="0" fontId="17" fillId="0" borderId="18" xfId="0" applyFont="1" applyBorder="1" applyAlignment="1">
      <alignment horizontal="left"/>
    </xf>
    <xf numFmtId="0" fontId="17" fillId="0" borderId="11" xfId="0" applyFont="1" applyBorder="1" applyAlignment="1">
      <alignment horizontal="left"/>
    </xf>
    <xf numFmtId="0" fontId="17" fillId="0" borderId="19" xfId="0" applyFont="1" applyBorder="1" applyAlignment="1">
      <alignment horizontal="left"/>
    </xf>
    <xf numFmtId="0" fontId="17" fillId="0" borderId="20" xfId="0" applyFont="1" applyBorder="1" applyAlignment="1">
      <alignment horizontal="left"/>
    </xf>
    <xf numFmtId="0" fontId="17" fillId="0" borderId="21" xfId="0" applyFont="1" applyBorder="1" applyAlignment="1">
      <alignment horizontal="left"/>
    </xf>
    <xf numFmtId="0" fontId="3" fillId="0" borderId="40" xfId="2" applyFill="1" applyBorder="1" applyAlignment="1">
      <alignment horizontal="center" vertical="center"/>
    </xf>
    <xf numFmtId="0" fontId="3" fillId="0" borderId="41" xfId="2" applyFill="1" applyBorder="1" applyAlignment="1">
      <alignment horizontal="center" vertical="center"/>
    </xf>
    <xf numFmtId="0" fontId="7" fillId="3" borderId="24" xfId="0" applyFont="1" applyFill="1" applyBorder="1" applyAlignment="1">
      <alignment horizontal="left" vertical="top" indent="1"/>
    </xf>
    <xf numFmtId="0" fontId="7" fillId="3" borderId="25" xfId="0" applyFont="1" applyFill="1" applyBorder="1" applyAlignment="1">
      <alignment horizontal="left" vertical="top" indent="1"/>
    </xf>
    <xf numFmtId="49" fontId="8" fillId="3" borderId="22" xfId="0" applyNumberFormat="1" applyFont="1" applyFill="1" applyBorder="1" applyAlignment="1">
      <alignment horizontal="left" indent="1"/>
    </xf>
    <xf numFmtId="49" fontId="8" fillId="3" borderId="23" xfId="0" applyNumberFormat="1" applyFont="1" applyFill="1" applyBorder="1" applyAlignment="1">
      <alignment horizontal="left" indent="1"/>
    </xf>
    <xf numFmtId="0" fontId="4" fillId="0" borderId="32" xfId="4" applyBorder="1" applyAlignment="1">
      <alignment vertical="top"/>
    </xf>
    <xf numFmtId="0" fontId="4" fillId="0" borderId="33" xfId="4" applyBorder="1" applyAlignment="1">
      <alignment vertical="top"/>
    </xf>
    <xf numFmtId="0" fontId="6" fillId="2" borderId="22" xfId="0" applyFont="1" applyFill="1" applyBorder="1" applyAlignment="1">
      <alignment horizontal="left" indent="1"/>
    </xf>
    <xf numFmtId="0" fontId="6" fillId="2" borderId="3" xfId="0" applyFont="1" applyFill="1" applyBorder="1" applyAlignment="1">
      <alignment horizontal="left" indent="1"/>
    </xf>
    <xf numFmtId="0" fontId="6" fillId="2" borderId="23" xfId="0" applyFont="1" applyFill="1" applyBorder="1" applyAlignment="1">
      <alignment horizontal="left" indent="1"/>
    </xf>
    <xf numFmtId="0" fontId="3" fillId="0" borderId="34" xfId="2" applyBorder="1" applyAlignment="1">
      <alignment horizontal="left" vertical="center"/>
    </xf>
    <xf numFmtId="0" fontId="3" fillId="0" borderId="35" xfId="2" applyBorder="1" applyAlignment="1">
      <alignment horizontal="left" vertical="center"/>
    </xf>
    <xf numFmtId="0" fontId="3" fillId="0" borderId="36" xfId="2" applyBorder="1" applyAlignment="1">
      <alignment horizontal="left" vertical="center"/>
    </xf>
    <xf numFmtId="0" fontId="3" fillId="0" borderId="37" xfId="2" applyBorder="1" applyAlignment="1">
      <alignment horizontal="left" vertical="center"/>
    </xf>
    <xf numFmtId="0" fontId="4" fillId="0" borderId="34" xfId="4" applyBorder="1" applyAlignment="1">
      <alignment vertical="top"/>
    </xf>
    <xf numFmtId="0" fontId="17" fillId="0" borderId="38" xfId="0" applyFont="1" applyBorder="1" applyAlignment="1">
      <alignment horizontal="left"/>
    </xf>
    <xf numFmtId="0" fontId="17" fillId="0" borderId="39" xfId="0" applyFont="1" applyBorder="1" applyAlignment="1">
      <alignment horizontal="left"/>
    </xf>
    <xf numFmtId="0" fontId="7" fillId="3" borderId="26" xfId="0" applyFont="1" applyFill="1" applyBorder="1" applyAlignment="1">
      <alignment horizontal="left" vertical="top" indent="1"/>
    </xf>
    <xf numFmtId="0" fontId="7" fillId="3" borderId="27" xfId="0" applyFont="1" applyFill="1" applyBorder="1" applyAlignment="1">
      <alignment horizontal="left" vertical="top" indent="1"/>
    </xf>
    <xf numFmtId="49" fontId="8" fillId="3" borderId="29" xfId="0" applyNumberFormat="1" applyFont="1" applyFill="1" applyBorder="1" applyAlignment="1">
      <alignment horizontal="left" indent="1"/>
    </xf>
    <xf numFmtId="49" fontId="8" fillId="3" borderId="30" xfId="0" applyNumberFormat="1" applyFont="1" applyFill="1" applyBorder="1" applyAlignment="1">
      <alignment horizontal="left" indent="1"/>
    </xf>
    <xf numFmtId="49" fontId="8" fillId="3" borderId="3" xfId="0" applyNumberFormat="1" applyFont="1" applyFill="1" applyBorder="1" applyAlignment="1">
      <alignment horizontal="left" indent="1"/>
    </xf>
    <xf numFmtId="164" fontId="7" fillId="3" borderId="24" xfId="0" applyNumberFormat="1" applyFont="1" applyFill="1" applyBorder="1" applyAlignment="1">
      <alignment horizontal="left" vertical="top" indent="1"/>
    </xf>
    <xf numFmtId="164" fontId="7" fillId="3" borderId="28" xfId="0" applyNumberFormat="1" applyFont="1" applyFill="1" applyBorder="1" applyAlignment="1">
      <alignment horizontal="left" vertical="top" indent="1"/>
    </xf>
    <xf numFmtId="49" fontId="8" fillId="3" borderId="22" xfId="0" applyNumberFormat="1" applyFont="1" applyFill="1" applyBorder="1" applyAlignment="1">
      <alignment horizontal="left" vertical="center" indent="1"/>
    </xf>
    <xf numFmtId="49" fontId="8" fillId="3" borderId="3" xfId="0" applyNumberFormat="1" applyFont="1" applyFill="1" applyBorder="1" applyAlignment="1">
      <alignment horizontal="left" vertical="center" indent="1"/>
    </xf>
    <xf numFmtId="0" fontId="19" fillId="3" borderId="24" xfId="0" applyFont="1" applyFill="1" applyBorder="1" applyAlignment="1">
      <alignment horizontal="left" vertical="top" indent="1"/>
    </xf>
    <xf numFmtId="0" fontId="19" fillId="3" borderId="28" xfId="0" applyFont="1" applyFill="1" applyBorder="1" applyAlignment="1">
      <alignment horizontal="left" vertical="top" indent="1"/>
    </xf>
    <xf numFmtId="49" fontId="8" fillId="3" borderId="31" xfId="0" applyNumberFormat="1" applyFont="1" applyFill="1" applyBorder="1" applyAlignment="1">
      <alignment horizontal="left" indent="1"/>
    </xf>
    <xf numFmtId="0" fontId="7" fillId="3" borderId="28" xfId="0" applyFont="1" applyFill="1" applyBorder="1" applyAlignment="1">
      <alignment horizontal="left" vertical="top" indent="1"/>
    </xf>
    <xf numFmtId="49" fontId="19" fillId="3" borderId="22" xfId="0" applyNumberFormat="1" applyFont="1" applyFill="1" applyBorder="1" applyAlignment="1">
      <alignment horizontal="left" indent="1"/>
    </xf>
    <xf numFmtId="49" fontId="19" fillId="3" borderId="3" xfId="0" applyNumberFormat="1" applyFont="1" applyFill="1" applyBorder="1" applyAlignment="1">
      <alignment horizontal="left" indent="1"/>
    </xf>
    <xf numFmtId="164" fontId="7" fillId="3" borderId="26" xfId="0" applyNumberFormat="1" applyFont="1" applyFill="1" applyBorder="1" applyAlignment="1">
      <alignment horizontal="left" vertical="top" indent="1"/>
    </xf>
    <xf numFmtId="164" fontId="7" fillId="3" borderId="14" xfId="0" applyNumberFormat="1" applyFont="1" applyFill="1" applyBorder="1" applyAlignment="1">
      <alignment horizontal="left" vertical="top" indent="1"/>
    </xf>
    <xf numFmtId="0" fontId="2" fillId="0" borderId="15" xfId="1" applyFill="1" applyBorder="1" applyAlignment="1">
      <alignment vertical="top"/>
    </xf>
    <xf numFmtId="0" fontId="16" fillId="0" borderId="0" xfId="0" applyFont="1" applyAlignment="1">
      <alignment vertical="center" wrapText="1"/>
    </xf>
    <xf numFmtId="0" fontId="4" fillId="0" borderId="15" xfId="3" applyBorder="1" applyAlignment="1">
      <alignment horizontal="left" vertical="center"/>
    </xf>
    <xf numFmtId="0" fontId="4" fillId="0" borderId="0" xfId="3" applyAlignment="1">
      <alignment horizontal="left" vertical="center"/>
    </xf>
    <xf numFmtId="0" fontId="4" fillId="0" borderId="3" xfId="3" applyBorder="1" applyAlignment="1">
      <alignment horizontal="left" vertical="center"/>
    </xf>
    <xf numFmtId="164" fontId="18" fillId="0" borderId="11" xfId="0" applyNumberFormat="1" applyFont="1" applyFill="1" applyBorder="1" applyAlignment="1">
      <alignment horizontal="left"/>
    </xf>
    <xf numFmtId="164" fontId="18" fillId="0" borderId="19" xfId="0" applyNumberFormat="1" applyFont="1" applyFill="1" applyBorder="1" applyAlignment="1">
      <alignment horizontal="left"/>
    </xf>
    <xf numFmtId="0" fontId="3" fillId="0" borderId="42" xfId="2" applyBorder="1" applyAlignment="1">
      <alignment horizontal="center" vertical="center"/>
    </xf>
    <xf numFmtId="0" fontId="3" fillId="0" borderId="43" xfId="2" applyBorder="1" applyAlignment="1">
      <alignment horizontal="center" vertical="center"/>
    </xf>
  </cellXfs>
  <cellStyles count="5">
    <cellStyle name="Заголовок 1" xfId="1" builtinId="16"/>
    <cellStyle name="Заголовок 2" xfId="2" builtinId="17"/>
    <cellStyle name="Заголовок 3" xfId="3" builtinId="18"/>
    <cellStyle name="Заголовок 4" xfId="4" builtinId="19"/>
    <cellStyle name="Обычный" xfId="0" builtinId="0"/>
  </cellStyles>
  <dxfs count="59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СтильТаблицыСветлый7 2" pivot="0" count="7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СтильТаблицыСветлый9 2" pivot="0" count="4">
      <tableStyleElement type="wholeTable" dxfId="51"/>
      <tableStyleElement type="headerRow" dxfId="50"/>
      <tableStyleElement type="totalRow" dxfId="49"/>
      <tableStyleElement type="firstColumn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P33"/>
  <sheetViews>
    <sheetView showGridLines="0" tabSelected="1" zoomScaleNormal="100" zoomScalePageLayoutView="84" workbookViewId="0">
      <selection activeCell="N2" sqref="N2:N3"/>
    </sheetView>
  </sheetViews>
  <sheetFormatPr defaultRowHeight="16.5" customHeight="1" x14ac:dyDescent="0.25"/>
  <cols>
    <col min="1" max="1" width="2.26953125" style="1" customWidth="1"/>
    <col min="2" max="2" width="17.54296875" style="1" customWidth="1"/>
    <col min="3" max="10" width="9.1796875" style="1" customWidth="1"/>
    <col min="11" max="11" width="7.26953125" style="1" customWidth="1"/>
    <col min="12" max="12" width="3.81640625" customWidth="1"/>
    <col min="13" max="13" width="51.453125" style="1" customWidth="1"/>
    <col min="14" max="14" width="10.7265625" style="1" customWidth="1"/>
    <col min="15" max="15" width="2.26953125" customWidth="1"/>
    <col min="16" max="16" width="41" bestFit="1" customWidth="1"/>
    <col min="17" max="16384" width="8.7265625" style="1"/>
  </cols>
  <sheetData>
    <row r="1" spans="1:16" ht="11.25" customHeight="1" x14ac:dyDescent="0.25"/>
    <row r="2" spans="1:16" ht="18" customHeight="1" x14ac:dyDescent="0.25">
      <c r="A2" s="4"/>
      <c r="B2" s="30"/>
      <c r="C2" s="21"/>
      <c r="D2" s="21"/>
      <c r="E2" s="21"/>
      <c r="F2" s="21"/>
      <c r="G2" s="21"/>
      <c r="H2" s="21"/>
      <c r="I2" s="21"/>
      <c r="J2" s="22"/>
      <c r="K2" s="48" t="s">
        <v>20</v>
      </c>
      <c r="L2" s="49">
        <v>2013</v>
      </c>
      <c r="M2" s="49"/>
      <c r="N2" s="37">
        <v>2020</v>
      </c>
      <c r="P2" s="73"/>
    </row>
    <row r="3" spans="1:16" ht="21" customHeight="1" x14ac:dyDescent="0.25">
      <c r="A3" s="4"/>
      <c r="B3" s="72" t="s">
        <v>0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19</v>
      </c>
      <c r="J3" s="5"/>
      <c r="K3" s="50"/>
      <c r="L3" s="51"/>
      <c r="M3" s="51"/>
      <c r="N3" s="38"/>
      <c r="P3" s="73"/>
    </row>
    <row r="4" spans="1:16" ht="18" customHeight="1" x14ac:dyDescent="0.3">
      <c r="A4" s="4"/>
      <c r="B4" s="72"/>
      <c r="C4" s="10">
        <f>IF(DAY(ЯнвВс1)=1,ЯнвВс1-6,ЯнвВс1+1)</f>
        <v>43829</v>
      </c>
      <c r="D4" s="10">
        <f>IF(DAY(ЯнвВс1)=1,ЯнвВс1-5,ЯнвВс1+2)</f>
        <v>43830</v>
      </c>
      <c r="E4" s="10">
        <f>IF(DAY(ЯнвВс1)=1,ЯнвВс1-4,ЯнвВс1+3)</f>
        <v>43831</v>
      </c>
      <c r="F4" s="10">
        <f>IF(DAY(ЯнвВс1)=1,ЯнвВс1-3,ЯнвВс1+4)</f>
        <v>43832</v>
      </c>
      <c r="G4" s="10">
        <f>IF(DAY(ЯнвВс1)=1,ЯнвВс1-2,ЯнвВс1+5)</f>
        <v>43833</v>
      </c>
      <c r="H4" s="10">
        <f>IF(DAY(ЯнвВс1)=1,ЯнвВс1-1,ЯнвВс1+6)</f>
        <v>43834</v>
      </c>
      <c r="I4" s="10">
        <f>IF(DAY(ЯнвВс1)=1,ЯнвВс1,ЯнвВс1+7)</f>
        <v>43835</v>
      </c>
      <c r="J4" s="5"/>
      <c r="K4" s="52"/>
      <c r="L4" s="16">
        <v>10</v>
      </c>
      <c r="M4" s="53" t="s">
        <v>22</v>
      </c>
      <c r="N4" s="54"/>
      <c r="P4" s="25"/>
    </row>
    <row r="5" spans="1:16" ht="18" customHeight="1" x14ac:dyDescent="0.3">
      <c r="A5" s="4"/>
      <c r="B5" s="26"/>
      <c r="C5" s="10">
        <f>IF(DAY(ЯнвВс1)=1,ЯнвВс1+1,ЯнвВс1+8)</f>
        <v>43836</v>
      </c>
      <c r="D5" s="10">
        <f>IF(DAY(ЯнвВс1)=1,ЯнвВс1+2,ЯнвВс1+9)</f>
        <v>43837</v>
      </c>
      <c r="E5" s="10">
        <f>IF(DAY(ЯнвВс1)=1,ЯнвВс1+3,ЯнвВс1+10)</f>
        <v>43838</v>
      </c>
      <c r="F5" s="10">
        <f>IF(DAY(ЯнвВс1)=1,ЯнвВс1+4,ЯнвВс1+11)</f>
        <v>43839</v>
      </c>
      <c r="G5" s="10">
        <f>IF(DAY(ЯнвВс1)=1,ЯнвВс1+5,ЯнвВс1+12)</f>
        <v>43840</v>
      </c>
      <c r="H5" s="10">
        <f>IF(DAY(ЯнвВс1)=1,ЯнвВс1+6,ЯнвВс1+13)</f>
        <v>43841</v>
      </c>
      <c r="I5" s="10">
        <f>IF(DAY(ЯнвВс1)=1,ЯнвВс1+7,ЯнвВс1+14)</f>
        <v>43842</v>
      </c>
      <c r="J5" s="5"/>
      <c r="K5" s="44"/>
      <c r="L5" s="17">
        <v>12</v>
      </c>
      <c r="M5" s="31" t="s">
        <v>21</v>
      </c>
      <c r="N5" s="32"/>
      <c r="P5" s="25"/>
    </row>
    <row r="6" spans="1:16" ht="18" customHeight="1" x14ac:dyDescent="0.3">
      <c r="A6" s="4"/>
      <c r="B6" s="26"/>
      <c r="C6" s="10">
        <f>IF(DAY(ЯнвВс1)=1,ЯнвВс1+8,ЯнвВс1+15)</f>
        <v>43843</v>
      </c>
      <c r="D6" s="10">
        <f>IF(DAY(ЯнвВс1)=1,ЯнвВс1+9,ЯнвВс1+16)</f>
        <v>43844</v>
      </c>
      <c r="E6" s="10">
        <f>IF(DAY(ЯнвВс1)=1,ЯнвВс1+10,ЯнвВс1+17)</f>
        <v>43845</v>
      </c>
      <c r="F6" s="10">
        <f>IF(DAY(ЯнвВс1)=1,ЯнвВс1+11,ЯнвВс1+18)</f>
        <v>43846</v>
      </c>
      <c r="G6" s="10">
        <f>IF(DAY(ЯнвВс1)=1,ЯнвВс1+12,ЯнвВс1+19)</f>
        <v>43847</v>
      </c>
      <c r="H6" s="10">
        <f>IF(DAY(ЯнвВс1)=1,ЯнвВс1+13,ЯнвВс1+20)</f>
        <v>43848</v>
      </c>
      <c r="I6" s="10">
        <f>IF(DAY(ЯнвВс1)=1,ЯнвВс1+14,ЯнвВс1+21)</f>
        <v>43849</v>
      </c>
      <c r="J6" s="5"/>
      <c r="K6" s="44"/>
      <c r="L6" s="17">
        <v>25</v>
      </c>
      <c r="M6" s="31" t="s">
        <v>23</v>
      </c>
      <c r="N6" s="32"/>
    </row>
    <row r="7" spans="1:16" ht="18" customHeight="1" x14ac:dyDescent="0.3">
      <c r="A7" s="4"/>
      <c r="B7" s="26"/>
      <c r="C7" s="10">
        <f>IF(DAY(ЯнвВс1)=1,ЯнвВс1+15,ЯнвВс1+22)</f>
        <v>43850</v>
      </c>
      <c r="D7" s="10">
        <f>IF(DAY(ЯнвВс1)=1,ЯнвВс1+16,ЯнвВс1+23)</f>
        <v>43851</v>
      </c>
      <c r="E7" s="10">
        <f>IF(DAY(ЯнвВс1)=1,ЯнвВс1+17,ЯнвВс1+24)</f>
        <v>43852</v>
      </c>
      <c r="F7" s="10">
        <f>IF(DAY(ЯнвВс1)=1,ЯнвВс1+18,ЯнвВс1+25)</f>
        <v>43853</v>
      </c>
      <c r="G7" s="10">
        <f>IF(DAY(ЯнвВс1)=1,ЯнвВс1+19,ЯнвВс1+26)</f>
        <v>43854</v>
      </c>
      <c r="H7" s="10">
        <f>IF(DAY(ЯнвВс1)=1,ЯнвВс1+20,ЯнвВс1+27)</f>
        <v>43855</v>
      </c>
      <c r="I7" s="10">
        <f>IF(DAY(ЯнвВс1)=1,ЯнвВс1+21,ЯнвВс1+28)</f>
        <v>43856</v>
      </c>
      <c r="J7" s="5"/>
      <c r="K7" s="11"/>
      <c r="L7" s="17">
        <v>31</v>
      </c>
      <c r="M7" s="31" t="s">
        <v>24</v>
      </c>
      <c r="N7" s="32"/>
    </row>
    <row r="8" spans="1:16" ht="18.75" customHeight="1" x14ac:dyDescent="0.3">
      <c r="A8" s="4"/>
      <c r="B8" s="26"/>
      <c r="C8" s="10">
        <f>IF(DAY(ЯнвВс1)=1,ЯнвВс1+22,ЯнвВс1+29)</f>
        <v>43857</v>
      </c>
      <c r="D8" s="10">
        <f>IF(DAY(ЯнвВс1)=1,ЯнвВс1+23,ЯнвВс1+30)</f>
        <v>43858</v>
      </c>
      <c r="E8" s="10">
        <f>IF(DAY(ЯнвВс1)=1,ЯнвВс1+24,ЯнвВс1+31)</f>
        <v>43859</v>
      </c>
      <c r="F8" s="10">
        <f>IF(DAY(ЯнвВс1)=1,ЯнвВс1+25,ЯнвВс1+32)</f>
        <v>43860</v>
      </c>
      <c r="G8" s="10">
        <f>IF(DAY(ЯнвВс1)=1,ЯнвВс1+26,ЯнвВс1+33)</f>
        <v>43861</v>
      </c>
      <c r="H8" s="10">
        <f>IF(DAY(ЯнвВс1)=1,ЯнвВс1+27,ЯнвВс1+34)</f>
        <v>43862</v>
      </c>
      <c r="I8" s="10">
        <f>IF(DAY(ЯнвВс1)=1,ЯнвВс1+28,ЯнвВс1+35)</f>
        <v>43863</v>
      </c>
      <c r="J8" s="5"/>
      <c r="K8" s="11"/>
      <c r="L8" s="17"/>
      <c r="M8" s="31"/>
      <c r="N8" s="32"/>
    </row>
    <row r="9" spans="1:16" ht="18" customHeight="1" x14ac:dyDescent="0.3">
      <c r="A9" s="4"/>
      <c r="B9" s="26"/>
      <c r="C9" s="10">
        <f>IF(DAY(ЯнвВс1)=1,ЯнвВс1+29,ЯнвВс1+36)</f>
        <v>43864</v>
      </c>
      <c r="D9" s="10">
        <f>IF(DAY(ЯнвВс1)=1,ЯнвВс1+30,ЯнвВс1+37)</f>
        <v>43865</v>
      </c>
      <c r="E9" s="10">
        <f>IF(DAY(ЯнвВс1)=1,ЯнвВс1+31,ЯнвВс1+38)</f>
        <v>43866</v>
      </c>
      <c r="F9" s="10">
        <f>IF(DAY(ЯнвВс1)=1,ЯнвВс1+32,ЯнвВс1+39)</f>
        <v>43867</v>
      </c>
      <c r="G9" s="10">
        <f>IF(DAY(ЯнвВс1)=1,ЯнвВс1+33,ЯнвВс1+40)</f>
        <v>43868</v>
      </c>
      <c r="H9" s="10">
        <f>IF(DAY(ЯнвВс1)=1,ЯнвВс1+34,ЯнвВс1+41)</f>
        <v>43869</v>
      </c>
      <c r="I9" s="10">
        <f>IF(DAY(ЯнвВс1)=1,ЯнвВс1+35,ЯнвВс1+42)</f>
        <v>43870</v>
      </c>
      <c r="J9" s="5"/>
      <c r="K9" s="12"/>
      <c r="L9" s="18"/>
      <c r="M9" s="33"/>
      <c r="N9" s="34"/>
    </row>
    <row r="10" spans="1:16" ht="18" customHeight="1" x14ac:dyDescent="0.3">
      <c r="A10" s="4"/>
      <c r="B10" s="27"/>
      <c r="C10" s="23"/>
      <c r="D10" s="23"/>
      <c r="E10" s="23"/>
      <c r="F10" s="23"/>
      <c r="G10" s="23"/>
      <c r="H10" s="23"/>
      <c r="I10" s="23"/>
      <c r="J10" s="24"/>
      <c r="K10" s="43"/>
      <c r="L10" s="16"/>
      <c r="M10" s="35"/>
      <c r="N10" s="36"/>
    </row>
    <row r="11" spans="1:16" ht="18" customHeight="1" x14ac:dyDescent="0.3">
      <c r="A11" s="4"/>
      <c r="B11" s="74" t="s">
        <v>1</v>
      </c>
      <c r="C11" s="75"/>
      <c r="D11" s="75"/>
      <c r="E11" s="75"/>
      <c r="F11" s="75"/>
      <c r="G11" s="75"/>
      <c r="H11" s="75"/>
      <c r="I11" s="75"/>
      <c r="J11" s="76"/>
      <c r="K11" s="44"/>
      <c r="L11" s="17"/>
      <c r="M11" s="31"/>
      <c r="N11" s="32"/>
    </row>
    <row r="12" spans="1:16" ht="18" customHeight="1" x14ac:dyDescent="0.3">
      <c r="A12" s="4"/>
      <c r="B12" s="74"/>
      <c r="C12" s="75"/>
      <c r="D12" s="75"/>
      <c r="E12" s="75"/>
      <c r="F12" s="75"/>
      <c r="G12" s="75"/>
      <c r="H12" s="75"/>
      <c r="I12" s="75"/>
      <c r="J12" s="76"/>
      <c r="K12" s="44"/>
      <c r="L12" s="17"/>
      <c r="M12" s="31"/>
      <c r="N12" s="32"/>
    </row>
    <row r="13" spans="1:16" ht="18" customHeight="1" x14ac:dyDescent="0.3">
      <c r="B13" s="3" t="s">
        <v>2</v>
      </c>
      <c r="C13" s="45" t="s">
        <v>3</v>
      </c>
      <c r="D13" s="47"/>
      <c r="E13" s="45" t="s">
        <v>4</v>
      </c>
      <c r="F13" s="47"/>
      <c r="G13" s="45" t="s">
        <v>5</v>
      </c>
      <c r="H13" s="47"/>
      <c r="I13" s="45" t="s">
        <v>6</v>
      </c>
      <c r="J13" s="46"/>
      <c r="K13" s="11"/>
      <c r="L13" s="17"/>
      <c r="M13" s="31"/>
      <c r="N13" s="32"/>
    </row>
    <row r="14" spans="1:16" ht="18" customHeight="1" x14ac:dyDescent="0.3">
      <c r="B14" s="8"/>
      <c r="C14" s="41"/>
      <c r="D14" s="42"/>
      <c r="E14" s="41"/>
      <c r="F14" s="42"/>
      <c r="G14" s="41"/>
      <c r="H14" s="42"/>
      <c r="I14" s="41"/>
      <c r="J14" s="59"/>
      <c r="K14" s="11"/>
      <c r="L14" s="17"/>
      <c r="M14" s="31"/>
      <c r="N14" s="32"/>
    </row>
    <row r="15" spans="1:16" ht="18" customHeight="1" x14ac:dyDescent="0.3">
      <c r="B15" s="6"/>
      <c r="C15" s="39"/>
      <c r="D15" s="40"/>
      <c r="E15" s="39"/>
      <c r="F15" s="40"/>
      <c r="G15" s="39"/>
      <c r="H15" s="40"/>
      <c r="I15" s="60"/>
      <c r="J15" s="61"/>
      <c r="K15" s="13"/>
      <c r="L15" s="19"/>
      <c r="M15" s="33"/>
      <c r="N15" s="34"/>
    </row>
    <row r="16" spans="1:16" ht="18" customHeight="1" x14ac:dyDescent="0.3">
      <c r="B16" s="8"/>
      <c r="C16" s="41"/>
      <c r="D16" s="42"/>
      <c r="E16" s="41"/>
      <c r="F16" s="42"/>
      <c r="G16" s="41"/>
      <c r="H16" s="42"/>
      <c r="I16" s="62"/>
      <c r="J16" s="63"/>
      <c r="K16" s="43"/>
      <c r="L16" s="16"/>
      <c r="M16" s="35"/>
      <c r="N16" s="36"/>
    </row>
    <row r="17" spans="2:14" ht="18" customHeight="1" x14ac:dyDescent="0.3">
      <c r="B17" s="6"/>
      <c r="C17" s="39"/>
      <c r="D17" s="40"/>
      <c r="E17" s="39"/>
      <c r="F17" s="40"/>
      <c r="G17" s="39"/>
      <c r="H17" s="40"/>
      <c r="I17" s="60"/>
      <c r="J17" s="61"/>
      <c r="K17" s="44"/>
      <c r="L17" s="17"/>
      <c r="M17" s="31"/>
      <c r="N17" s="32"/>
    </row>
    <row r="18" spans="2:14" ht="18" customHeight="1" x14ac:dyDescent="0.3">
      <c r="B18" s="9"/>
      <c r="C18" s="57"/>
      <c r="D18" s="58"/>
      <c r="E18" s="57"/>
      <c r="F18" s="58"/>
      <c r="G18" s="57"/>
      <c r="H18" s="58"/>
      <c r="I18" s="57"/>
      <c r="J18" s="66"/>
      <c r="K18" s="44"/>
      <c r="L18" s="17"/>
      <c r="M18" s="31"/>
      <c r="N18" s="32"/>
    </row>
    <row r="19" spans="2:14" ht="18" customHeight="1" x14ac:dyDescent="0.3">
      <c r="B19" s="6"/>
      <c r="C19" s="39"/>
      <c r="D19" s="40"/>
      <c r="E19" s="39"/>
      <c r="F19" s="40"/>
      <c r="G19" s="39"/>
      <c r="H19" s="40"/>
      <c r="I19" s="60"/>
      <c r="J19" s="61"/>
      <c r="K19" s="11"/>
      <c r="L19" s="17"/>
      <c r="M19" s="31"/>
      <c r="N19" s="32"/>
    </row>
    <row r="20" spans="2:14" ht="18" customHeight="1" x14ac:dyDescent="0.3">
      <c r="B20" s="8"/>
      <c r="C20" s="41"/>
      <c r="D20" s="42"/>
      <c r="E20" s="41"/>
      <c r="F20" s="42"/>
      <c r="G20" s="41"/>
      <c r="H20" s="42"/>
      <c r="I20" s="41"/>
      <c r="J20" s="59"/>
      <c r="K20" s="11"/>
      <c r="L20" s="17"/>
      <c r="M20" s="31"/>
      <c r="N20" s="32"/>
    </row>
    <row r="21" spans="2:14" ht="18" customHeight="1" x14ac:dyDescent="0.3">
      <c r="B21" s="6"/>
      <c r="C21" s="39"/>
      <c r="D21" s="40"/>
      <c r="E21" s="39"/>
      <c r="F21" s="40"/>
      <c r="G21" s="39"/>
      <c r="H21" s="40"/>
      <c r="I21" s="64"/>
      <c r="J21" s="65"/>
      <c r="K21" s="13"/>
      <c r="L21" s="19"/>
      <c r="M21" s="33"/>
      <c r="N21" s="34"/>
    </row>
    <row r="22" spans="2:14" ht="18" customHeight="1" x14ac:dyDescent="0.3">
      <c r="B22" s="8"/>
      <c r="C22" s="41"/>
      <c r="D22" s="42"/>
      <c r="E22" s="41"/>
      <c r="F22" s="42"/>
      <c r="G22" s="41"/>
      <c r="H22" s="42"/>
      <c r="I22" s="41"/>
      <c r="J22" s="59"/>
      <c r="K22" s="43"/>
      <c r="L22" s="16"/>
      <c r="M22" s="35"/>
      <c r="N22" s="36"/>
    </row>
    <row r="23" spans="2:14" ht="18" customHeight="1" x14ac:dyDescent="0.3">
      <c r="B23" s="6"/>
      <c r="C23" s="39"/>
      <c r="D23" s="40"/>
      <c r="E23" s="39"/>
      <c r="F23" s="40"/>
      <c r="G23" s="39"/>
      <c r="H23" s="40"/>
      <c r="I23" s="60"/>
      <c r="J23" s="61"/>
      <c r="K23" s="44"/>
      <c r="L23" s="17"/>
      <c r="M23" s="31"/>
      <c r="N23" s="32"/>
    </row>
    <row r="24" spans="2:14" ht="18" customHeight="1" x14ac:dyDescent="0.3">
      <c r="B24" s="8"/>
      <c r="C24" s="41"/>
      <c r="D24" s="42"/>
      <c r="E24" s="41"/>
      <c r="F24" s="42"/>
      <c r="G24" s="41"/>
      <c r="H24" s="42"/>
      <c r="I24" s="41"/>
      <c r="J24" s="59"/>
      <c r="K24" s="44"/>
      <c r="L24" s="17"/>
      <c r="M24" s="31"/>
      <c r="N24" s="32"/>
    </row>
    <row r="25" spans="2:14" ht="18" customHeight="1" x14ac:dyDescent="0.3">
      <c r="B25" s="6"/>
      <c r="C25" s="39"/>
      <c r="D25" s="40"/>
      <c r="E25" s="39"/>
      <c r="F25" s="40"/>
      <c r="G25" s="39"/>
      <c r="H25" s="40"/>
      <c r="I25" s="60"/>
      <c r="J25" s="61"/>
      <c r="K25" s="44"/>
      <c r="L25" s="17"/>
      <c r="M25" s="31"/>
      <c r="N25" s="32"/>
    </row>
    <row r="26" spans="2:14" ht="18" customHeight="1" x14ac:dyDescent="0.3">
      <c r="B26" s="8"/>
      <c r="C26" s="41"/>
      <c r="D26" s="42"/>
      <c r="E26" s="41"/>
      <c r="F26" s="42"/>
      <c r="G26" s="41"/>
      <c r="H26" s="42"/>
      <c r="I26" s="41"/>
      <c r="J26" s="59"/>
      <c r="K26" s="11"/>
      <c r="L26" s="17"/>
      <c r="M26" s="31"/>
      <c r="N26" s="32"/>
    </row>
    <row r="27" spans="2:14" ht="18" customHeight="1" x14ac:dyDescent="0.3">
      <c r="B27" s="6"/>
      <c r="C27" s="39"/>
      <c r="D27" s="40"/>
      <c r="E27" s="39"/>
      <c r="F27" s="40"/>
      <c r="G27" s="39"/>
      <c r="H27" s="40"/>
      <c r="I27" s="60"/>
      <c r="J27" s="61"/>
      <c r="K27" s="13"/>
      <c r="L27" s="19"/>
      <c r="M27" s="33"/>
      <c r="N27" s="34"/>
    </row>
    <row r="28" spans="2:14" ht="18" customHeight="1" x14ac:dyDescent="0.3">
      <c r="B28" s="8"/>
      <c r="C28" s="41"/>
      <c r="D28" s="42"/>
      <c r="E28" s="41"/>
      <c r="F28" s="42"/>
      <c r="G28" s="41"/>
      <c r="H28" s="42"/>
      <c r="I28" s="41"/>
      <c r="J28" s="59"/>
      <c r="K28" s="43"/>
      <c r="L28" s="16"/>
      <c r="M28" s="35"/>
      <c r="N28" s="36"/>
    </row>
    <row r="29" spans="2:14" ht="18" customHeight="1" x14ac:dyDescent="0.3">
      <c r="B29" s="6"/>
      <c r="C29" s="39"/>
      <c r="D29" s="40"/>
      <c r="E29" s="39"/>
      <c r="F29" s="40"/>
      <c r="G29" s="39"/>
      <c r="H29" s="40"/>
      <c r="I29" s="39"/>
      <c r="J29" s="67"/>
      <c r="K29" s="44"/>
      <c r="L29" s="17"/>
      <c r="M29" s="31"/>
      <c r="N29" s="32"/>
    </row>
    <row r="30" spans="2:14" ht="18" customHeight="1" x14ac:dyDescent="0.3">
      <c r="B30" s="8"/>
      <c r="C30" s="41"/>
      <c r="D30" s="42"/>
      <c r="E30" s="41"/>
      <c r="F30" s="42"/>
      <c r="G30" s="41"/>
      <c r="H30" s="42"/>
      <c r="I30" s="68"/>
      <c r="J30" s="69"/>
      <c r="K30" s="44"/>
      <c r="L30" s="17"/>
      <c r="M30" s="31"/>
      <c r="N30" s="32"/>
    </row>
    <row r="31" spans="2:14" ht="18" customHeight="1" x14ac:dyDescent="0.3">
      <c r="B31" s="6"/>
      <c r="C31" s="39"/>
      <c r="D31" s="40"/>
      <c r="E31" s="39"/>
      <c r="F31" s="40"/>
      <c r="G31" s="39"/>
      <c r="H31" s="40"/>
      <c r="I31" s="39"/>
      <c r="J31" s="67"/>
      <c r="K31" s="14"/>
      <c r="L31" s="17"/>
      <c r="M31" s="31"/>
      <c r="N31" s="32"/>
    </row>
    <row r="32" spans="2:14" ht="18" customHeight="1" x14ac:dyDescent="0.3">
      <c r="B32" s="8"/>
      <c r="C32" s="41"/>
      <c r="D32" s="42"/>
      <c r="E32" s="41"/>
      <c r="F32" s="42"/>
      <c r="G32" s="41"/>
      <c r="H32" s="42"/>
      <c r="I32" s="62"/>
      <c r="J32" s="63"/>
      <c r="K32" s="14"/>
      <c r="L32" s="17"/>
      <c r="M32" s="31"/>
      <c r="N32" s="32"/>
    </row>
    <row r="33" spans="2:14" ht="18" customHeight="1" x14ac:dyDescent="0.35">
      <c r="B33" s="7"/>
      <c r="C33" s="55"/>
      <c r="D33" s="56"/>
      <c r="E33" s="55"/>
      <c r="F33" s="56"/>
      <c r="G33" s="55"/>
      <c r="H33" s="56"/>
      <c r="I33" s="70"/>
      <c r="J33" s="71"/>
      <c r="K33" s="15"/>
      <c r="L33" s="20"/>
      <c r="M33" s="77"/>
      <c r="N33" s="78"/>
    </row>
  </sheetData>
  <mergeCells count="124">
    <mergeCell ref="B3:B4"/>
    <mergeCell ref="P2:P3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K16:K18"/>
    <mergeCell ref="K22:K25"/>
    <mergeCell ref="M18:N18"/>
    <mergeCell ref="M19:N19"/>
    <mergeCell ref="M20:N20"/>
    <mergeCell ref="M12:N12"/>
    <mergeCell ref="M13:N13"/>
    <mergeCell ref="M14:N14"/>
    <mergeCell ref="M15:N15"/>
    <mergeCell ref="M16:N16"/>
    <mergeCell ref="M17:N17"/>
  </mergeCells>
  <phoneticPr fontId="1" type="noConversion"/>
  <conditionalFormatting sqref="C4:H4">
    <cfRule type="expression" dxfId="47" priority="4" stopIfTrue="1">
      <formula>DAY(C4)&gt;8</formula>
    </cfRule>
  </conditionalFormatting>
  <conditionalFormatting sqref="C8:I10">
    <cfRule type="expression" dxfId="46" priority="3" stopIfTrue="1">
      <formula>AND(DAY(C8)&gt;=1,DAY(C8)&lt;=15)</formula>
    </cfRule>
  </conditionalFormatting>
  <conditionalFormatting sqref="C4:I9">
    <cfRule type="expression" dxfId="45" priority="15">
      <formula>VLOOKUP(DAY(C4),КоличествоДней,1,FALSE)=DAY(C4)</formula>
    </cfRule>
  </conditionalFormatting>
  <conditionalFormatting sqref="B14:J33">
    <cfRule type="expression" dxfId="44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  <pageSetUpPr fitToPage="1"/>
  </sheetPr>
  <dimension ref="A1:O33"/>
  <sheetViews>
    <sheetView showGridLines="0" zoomScaleNormal="100" zoomScalePageLayoutView="84" workbookViewId="0">
      <selection activeCell="N2" sqref="N2:N3"/>
    </sheetView>
  </sheetViews>
  <sheetFormatPr defaultRowHeight="16.5" customHeight="1" x14ac:dyDescent="0.25"/>
  <cols>
    <col min="1" max="1" width="2.26953125" style="1" customWidth="1"/>
    <col min="2" max="2" width="17.54296875" style="1" customWidth="1"/>
    <col min="3" max="10" width="9.1796875" style="1" customWidth="1"/>
    <col min="11" max="11" width="7.26953125" style="1" customWidth="1"/>
    <col min="12" max="12" width="3.81640625" customWidth="1"/>
    <col min="13" max="13" width="51.453125" style="1" customWidth="1"/>
    <col min="14" max="14" width="10.7265625" style="1" customWidth="1"/>
    <col min="15" max="15" width="2.26953125" customWidth="1"/>
    <col min="16" max="16384" width="8.7265625" style="1"/>
  </cols>
  <sheetData>
    <row r="1" spans="1:14" ht="11.25" customHeight="1" x14ac:dyDescent="0.25"/>
    <row r="2" spans="1:14" ht="18" customHeight="1" x14ac:dyDescent="0.25">
      <c r="A2" s="4"/>
      <c r="B2" s="30"/>
      <c r="C2" s="21"/>
      <c r="D2" s="21"/>
      <c r="E2" s="21"/>
      <c r="F2" s="21"/>
      <c r="G2" s="21"/>
      <c r="H2" s="21"/>
      <c r="I2" s="21"/>
      <c r="J2" s="22"/>
      <c r="K2" s="48" t="s">
        <v>20</v>
      </c>
      <c r="L2" s="49">
        <v>2013</v>
      </c>
      <c r="M2" s="49"/>
      <c r="N2" s="79">
        <f>КалендарныйГод</f>
        <v>2020</v>
      </c>
    </row>
    <row r="3" spans="1:14" ht="21" customHeight="1" x14ac:dyDescent="0.25">
      <c r="A3" s="4"/>
      <c r="B3" s="72" t="s">
        <v>8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19</v>
      </c>
      <c r="J3" s="5"/>
      <c r="K3" s="50"/>
      <c r="L3" s="51"/>
      <c r="M3" s="51"/>
      <c r="N3" s="80"/>
    </row>
    <row r="4" spans="1:14" ht="18" customHeight="1" x14ac:dyDescent="0.3">
      <c r="A4" s="4"/>
      <c r="B4" s="72"/>
      <c r="C4" s="10">
        <f>IF(DAY(ОктВс1)=1,ОктВс1-6,ОктВс1+1)</f>
        <v>44102</v>
      </c>
      <c r="D4" s="10">
        <f>IF(DAY(ОктВс1)=1,ОктВс1-5,ОктВс1+2)</f>
        <v>44103</v>
      </c>
      <c r="E4" s="10">
        <f>IF(DAY(ОктВс1)=1,ОктВс1-4,ОктВс1+3)</f>
        <v>44104</v>
      </c>
      <c r="F4" s="10">
        <f>IF(DAY(ОктВс1)=1,ОктВс1-3,ОктВс1+4)</f>
        <v>44105</v>
      </c>
      <c r="G4" s="10">
        <f>IF(DAY(ОктВс1)=1,ОктВс1-2,ОктВс1+5)</f>
        <v>44106</v>
      </c>
      <c r="H4" s="10">
        <f>IF(DAY(ОктВс1)=1,ОктВс1-1,ОктВс1+6)</f>
        <v>44107</v>
      </c>
      <c r="I4" s="10">
        <f>IF(DAY(ОктВс1)=1,ОктВс1,ОктВс1+7)</f>
        <v>44108</v>
      </c>
      <c r="J4" s="5"/>
      <c r="K4" s="52"/>
      <c r="L4" s="16"/>
      <c r="M4" s="53"/>
      <c r="N4" s="54"/>
    </row>
    <row r="5" spans="1:14" ht="18" customHeight="1" x14ac:dyDescent="0.3">
      <c r="A5" s="4"/>
      <c r="B5" s="28"/>
      <c r="C5" s="10">
        <f>IF(DAY(ОктВс1)=1,ОктВс1+1,ОктВс1+8)</f>
        <v>44109</v>
      </c>
      <c r="D5" s="10">
        <f>IF(DAY(ОктВс1)=1,ОктВс1+2,ОктВс1+9)</f>
        <v>44110</v>
      </c>
      <c r="E5" s="10">
        <f>IF(DAY(ОктВс1)=1,ОктВс1+3,ОктВс1+10)</f>
        <v>44111</v>
      </c>
      <c r="F5" s="10">
        <f>IF(DAY(ОктВс1)=1,ОктВс1+4,ОктВс1+11)</f>
        <v>44112</v>
      </c>
      <c r="G5" s="10">
        <f>IF(DAY(ОктВс1)=1,ОктВс1+5,ОктВс1+12)</f>
        <v>44113</v>
      </c>
      <c r="H5" s="10">
        <f>IF(DAY(ОктВс1)=1,ОктВс1+6,ОктВс1+13)</f>
        <v>44114</v>
      </c>
      <c r="I5" s="10">
        <f>IF(DAY(ОктВс1)=1,ОктВс1+7,ОктВс1+14)</f>
        <v>44115</v>
      </c>
      <c r="J5" s="5"/>
      <c r="K5" s="44"/>
      <c r="L5" s="17"/>
      <c r="M5" s="31"/>
      <c r="N5" s="32"/>
    </row>
    <row r="6" spans="1:14" ht="18" customHeight="1" x14ac:dyDescent="0.3">
      <c r="A6" s="4"/>
      <c r="B6" s="28"/>
      <c r="C6" s="10">
        <f>IF(DAY(ОктВс1)=1,ОктВс1+8,ОктВс1+15)</f>
        <v>44116</v>
      </c>
      <c r="D6" s="10">
        <f>IF(DAY(ОктВс1)=1,ОктВс1+9,ОктВс1+16)</f>
        <v>44117</v>
      </c>
      <c r="E6" s="10">
        <f>IF(DAY(ОктВс1)=1,ОктВс1+10,ОктВс1+17)</f>
        <v>44118</v>
      </c>
      <c r="F6" s="10">
        <f>IF(DAY(ОктВс1)=1,ОктВс1+11,ОктВс1+18)</f>
        <v>44119</v>
      </c>
      <c r="G6" s="10">
        <f>IF(DAY(ОктВс1)=1,ОктВс1+12,ОктВс1+19)</f>
        <v>44120</v>
      </c>
      <c r="H6" s="10">
        <f>IF(DAY(ОктВс1)=1,ОктВс1+13,ОктВс1+20)</f>
        <v>44121</v>
      </c>
      <c r="I6" s="10">
        <f>IF(DAY(ОктВс1)=1,ОктВс1+14,ОктВс1+21)</f>
        <v>44122</v>
      </c>
      <c r="J6" s="5"/>
      <c r="K6" s="44"/>
      <c r="L6" s="17"/>
      <c r="M6" s="31"/>
      <c r="N6" s="32"/>
    </row>
    <row r="7" spans="1:14" ht="18" customHeight="1" x14ac:dyDescent="0.3">
      <c r="A7" s="4"/>
      <c r="B7" s="28"/>
      <c r="C7" s="10">
        <f>IF(DAY(ОктВс1)=1,ОктВс1+15,ОктВс1+22)</f>
        <v>44123</v>
      </c>
      <c r="D7" s="10">
        <f>IF(DAY(ОктВс1)=1,ОктВс1+16,ОктВс1+23)</f>
        <v>44124</v>
      </c>
      <c r="E7" s="10">
        <f>IF(DAY(ОктВс1)=1,ОктВс1+17,ОктВс1+24)</f>
        <v>44125</v>
      </c>
      <c r="F7" s="10">
        <f>IF(DAY(ОктВс1)=1,ОктВс1+18,ОктВс1+25)</f>
        <v>44126</v>
      </c>
      <c r="G7" s="10">
        <f>IF(DAY(ОктВс1)=1,ОктВс1+19,ОктВс1+26)</f>
        <v>44127</v>
      </c>
      <c r="H7" s="10">
        <f>IF(DAY(ОктВс1)=1,ОктВс1+20,ОктВс1+27)</f>
        <v>44128</v>
      </c>
      <c r="I7" s="10">
        <f>IF(DAY(ОктВс1)=1,ОктВс1+21,ОктВс1+28)</f>
        <v>44129</v>
      </c>
      <c r="J7" s="5"/>
      <c r="K7" s="11"/>
      <c r="L7" s="17"/>
      <c r="M7" s="31"/>
      <c r="N7" s="32"/>
    </row>
    <row r="8" spans="1:14" ht="18.75" customHeight="1" x14ac:dyDescent="0.3">
      <c r="A8" s="4"/>
      <c r="B8" s="28"/>
      <c r="C8" s="10">
        <f>IF(DAY(ОктВс1)=1,ОктВс1+22,ОктВс1+29)</f>
        <v>44130</v>
      </c>
      <c r="D8" s="10">
        <f>IF(DAY(ОктВс1)=1,ОктВс1+23,ОктВс1+30)</f>
        <v>44131</v>
      </c>
      <c r="E8" s="10">
        <f>IF(DAY(ОктВс1)=1,ОктВс1+24,ОктВс1+31)</f>
        <v>44132</v>
      </c>
      <c r="F8" s="10">
        <f>IF(DAY(ОктВс1)=1,ОктВс1+25,ОктВс1+32)</f>
        <v>44133</v>
      </c>
      <c r="G8" s="10">
        <f>IF(DAY(ОктВс1)=1,ОктВс1+26,ОктВс1+33)</f>
        <v>44134</v>
      </c>
      <c r="H8" s="10">
        <f>IF(DAY(ОктВс1)=1,ОктВс1+27,ОктВс1+34)</f>
        <v>44135</v>
      </c>
      <c r="I8" s="10">
        <f>IF(DAY(ОктВс1)=1,ОктВс1+28,ОктВс1+35)</f>
        <v>44136</v>
      </c>
      <c r="J8" s="5"/>
      <c r="K8" s="11"/>
      <c r="L8" s="17"/>
      <c r="M8" s="31"/>
      <c r="N8" s="32"/>
    </row>
    <row r="9" spans="1:14" ht="18" customHeight="1" x14ac:dyDescent="0.3">
      <c r="A9" s="4"/>
      <c r="B9" s="28"/>
      <c r="C9" s="10">
        <f>IF(DAY(ОктВс1)=1,ОктВс1+29,ОктВс1+36)</f>
        <v>44137</v>
      </c>
      <c r="D9" s="10">
        <f>IF(DAY(ОктВс1)=1,ОктВс1+30,ОктВс1+37)</f>
        <v>44138</v>
      </c>
      <c r="E9" s="10">
        <f>IF(DAY(ОктВс1)=1,ОктВс1+31,ОктВс1+38)</f>
        <v>44139</v>
      </c>
      <c r="F9" s="10">
        <f>IF(DAY(ОктВс1)=1,ОктВс1+32,ОктВс1+39)</f>
        <v>44140</v>
      </c>
      <c r="G9" s="10">
        <f>IF(DAY(ОктВс1)=1,ОктВс1+33,ОктВс1+40)</f>
        <v>44141</v>
      </c>
      <c r="H9" s="10">
        <f>IF(DAY(ОктВс1)=1,ОктВс1+34,ОктВс1+41)</f>
        <v>44142</v>
      </c>
      <c r="I9" s="10">
        <f>IF(DAY(ОктВс1)=1,ОктВс1+35,ОктВс1+42)</f>
        <v>44143</v>
      </c>
      <c r="J9" s="5"/>
      <c r="K9" s="12"/>
      <c r="L9" s="18"/>
      <c r="M9" s="33"/>
      <c r="N9" s="34"/>
    </row>
    <row r="10" spans="1:14" ht="18" customHeight="1" x14ac:dyDescent="0.3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43"/>
      <c r="L10" s="16"/>
      <c r="M10" s="35"/>
      <c r="N10" s="36"/>
    </row>
    <row r="11" spans="1:14" ht="18" customHeight="1" x14ac:dyDescent="0.3">
      <c r="A11" s="4"/>
      <c r="B11" s="74" t="s">
        <v>1</v>
      </c>
      <c r="C11" s="75"/>
      <c r="D11" s="75"/>
      <c r="E11" s="75"/>
      <c r="F11" s="75"/>
      <c r="G11" s="75"/>
      <c r="H11" s="75"/>
      <c r="I11" s="75"/>
      <c r="J11" s="76"/>
      <c r="K11" s="44"/>
      <c r="L11" s="17"/>
      <c r="M11" s="31"/>
      <c r="N11" s="32"/>
    </row>
    <row r="12" spans="1:14" ht="18" customHeight="1" x14ac:dyDescent="0.3">
      <c r="A12" s="4"/>
      <c r="B12" s="74"/>
      <c r="C12" s="75"/>
      <c r="D12" s="75"/>
      <c r="E12" s="75"/>
      <c r="F12" s="75"/>
      <c r="G12" s="75"/>
      <c r="H12" s="75"/>
      <c r="I12" s="75"/>
      <c r="J12" s="76"/>
      <c r="K12" s="44"/>
      <c r="L12" s="17"/>
      <c r="M12" s="31"/>
      <c r="N12" s="32"/>
    </row>
    <row r="13" spans="1:14" ht="18" customHeight="1" x14ac:dyDescent="0.3">
      <c r="B13" s="3" t="s">
        <v>2</v>
      </c>
      <c r="C13" s="45" t="s">
        <v>3</v>
      </c>
      <c r="D13" s="47"/>
      <c r="E13" s="45" t="s">
        <v>4</v>
      </c>
      <c r="F13" s="47"/>
      <c r="G13" s="45" t="s">
        <v>5</v>
      </c>
      <c r="H13" s="47"/>
      <c r="I13" s="45" t="s">
        <v>6</v>
      </c>
      <c r="J13" s="46"/>
      <c r="K13" s="11"/>
      <c r="L13" s="17"/>
      <c r="M13" s="31"/>
      <c r="N13" s="32"/>
    </row>
    <row r="14" spans="1:14" ht="18" customHeight="1" x14ac:dyDescent="0.3">
      <c r="B14" s="8"/>
      <c r="C14" s="41"/>
      <c r="D14" s="42"/>
      <c r="E14" s="41"/>
      <c r="F14" s="42"/>
      <c r="G14" s="41"/>
      <c r="H14" s="42"/>
      <c r="I14" s="41"/>
      <c r="J14" s="59"/>
      <c r="K14" s="11"/>
      <c r="L14" s="17"/>
      <c r="M14" s="31"/>
      <c r="N14" s="32"/>
    </row>
    <row r="15" spans="1:14" ht="18" customHeight="1" x14ac:dyDescent="0.3">
      <c r="B15" s="6"/>
      <c r="C15" s="39"/>
      <c r="D15" s="40"/>
      <c r="E15" s="39"/>
      <c r="F15" s="40"/>
      <c r="G15" s="39"/>
      <c r="H15" s="40"/>
      <c r="I15" s="60"/>
      <c r="J15" s="61"/>
      <c r="K15" s="13"/>
      <c r="L15" s="19"/>
      <c r="M15" s="33"/>
      <c r="N15" s="34"/>
    </row>
    <row r="16" spans="1:14" ht="18" customHeight="1" x14ac:dyDescent="0.3">
      <c r="B16" s="8"/>
      <c r="C16" s="41"/>
      <c r="D16" s="42"/>
      <c r="E16" s="41"/>
      <c r="F16" s="42"/>
      <c r="G16" s="41"/>
      <c r="H16" s="42"/>
      <c r="I16" s="62"/>
      <c r="J16" s="63"/>
      <c r="K16" s="43"/>
      <c r="L16" s="16"/>
      <c r="M16" s="35"/>
      <c r="N16" s="36"/>
    </row>
    <row r="17" spans="2:14" ht="18" customHeight="1" x14ac:dyDescent="0.3">
      <c r="B17" s="6"/>
      <c r="C17" s="39"/>
      <c r="D17" s="40"/>
      <c r="E17" s="39"/>
      <c r="F17" s="40"/>
      <c r="G17" s="39"/>
      <c r="H17" s="40"/>
      <c r="I17" s="60"/>
      <c r="J17" s="61"/>
      <c r="K17" s="44"/>
      <c r="L17" s="17"/>
      <c r="M17" s="31"/>
      <c r="N17" s="32"/>
    </row>
    <row r="18" spans="2:14" ht="18" customHeight="1" x14ac:dyDescent="0.3">
      <c r="B18" s="9"/>
      <c r="C18" s="57"/>
      <c r="D18" s="58"/>
      <c r="E18" s="57"/>
      <c r="F18" s="58"/>
      <c r="G18" s="57"/>
      <c r="H18" s="58"/>
      <c r="I18" s="57"/>
      <c r="J18" s="66"/>
      <c r="K18" s="44"/>
      <c r="L18" s="17"/>
      <c r="M18" s="31"/>
      <c r="N18" s="32"/>
    </row>
    <row r="19" spans="2:14" ht="18" customHeight="1" x14ac:dyDescent="0.3">
      <c r="B19" s="6"/>
      <c r="C19" s="39"/>
      <c r="D19" s="40"/>
      <c r="E19" s="39"/>
      <c r="F19" s="40"/>
      <c r="G19" s="39"/>
      <c r="H19" s="40"/>
      <c r="I19" s="60"/>
      <c r="J19" s="61"/>
      <c r="K19" s="11"/>
      <c r="L19" s="17"/>
      <c r="M19" s="31"/>
      <c r="N19" s="32"/>
    </row>
    <row r="20" spans="2:14" ht="18" customHeight="1" x14ac:dyDescent="0.3">
      <c r="B20" s="8"/>
      <c r="C20" s="41"/>
      <c r="D20" s="42"/>
      <c r="E20" s="41"/>
      <c r="F20" s="42"/>
      <c r="G20" s="41"/>
      <c r="H20" s="42"/>
      <c r="I20" s="41"/>
      <c r="J20" s="59"/>
      <c r="K20" s="11"/>
      <c r="L20" s="17"/>
      <c r="M20" s="31"/>
      <c r="N20" s="32"/>
    </row>
    <row r="21" spans="2:14" ht="18" customHeight="1" x14ac:dyDescent="0.3">
      <c r="B21" s="6"/>
      <c r="C21" s="39"/>
      <c r="D21" s="40"/>
      <c r="E21" s="39"/>
      <c r="F21" s="40"/>
      <c r="G21" s="39"/>
      <c r="H21" s="40"/>
      <c r="I21" s="64"/>
      <c r="J21" s="65"/>
      <c r="K21" s="13"/>
      <c r="L21" s="19"/>
      <c r="M21" s="33"/>
      <c r="N21" s="34"/>
    </row>
    <row r="22" spans="2:14" ht="18" customHeight="1" x14ac:dyDescent="0.3">
      <c r="B22" s="8"/>
      <c r="C22" s="41"/>
      <c r="D22" s="42"/>
      <c r="E22" s="41"/>
      <c r="F22" s="42"/>
      <c r="G22" s="41"/>
      <c r="H22" s="42"/>
      <c r="I22" s="41"/>
      <c r="J22" s="59"/>
      <c r="K22" s="43"/>
      <c r="L22" s="16"/>
      <c r="M22" s="35"/>
      <c r="N22" s="36"/>
    </row>
    <row r="23" spans="2:14" ht="18" customHeight="1" x14ac:dyDescent="0.3">
      <c r="B23" s="6"/>
      <c r="C23" s="39"/>
      <c r="D23" s="40"/>
      <c r="E23" s="39"/>
      <c r="F23" s="40"/>
      <c r="G23" s="39"/>
      <c r="H23" s="40"/>
      <c r="I23" s="60"/>
      <c r="J23" s="61"/>
      <c r="K23" s="44"/>
      <c r="L23" s="17"/>
      <c r="M23" s="31"/>
      <c r="N23" s="32"/>
    </row>
    <row r="24" spans="2:14" ht="18" customHeight="1" x14ac:dyDescent="0.3">
      <c r="B24" s="8"/>
      <c r="C24" s="41"/>
      <c r="D24" s="42"/>
      <c r="E24" s="41"/>
      <c r="F24" s="42"/>
      <c r="G24" s="41"/>
      <c r="H24" s="42"/>
      <c r="I24" s="41"/>
      <c r="J24" s="59"/>
      <c r="K24" s="44"/>
      <c r="L24" s="17"/>
      <c r="M24" s="31"/>
      <c r="N24" s="32"/>
    </row>
    <row r="25" spans="2:14" ht="18" customHeight="1" x14ac:dyDescent="0.3">
      <c r="B25" s="6"/>
      <c r="C25" s="39"/>
      <c r="D25" s="40"/>
      <c r="E25" s="39"/>
      <c r="F25" s="40"/>
      <c r="G25" s="39"/>
      <c r="H25" s="40"/>
      <c r="I25" s="60"/>
      <c r="J25" s="61"/>
      <c r="K25" s="44"/>
      <c r="L25" s="17"/>
      <c r="M25" s="31"/>
      <c r="N25" s="32"/>
    </row>
    <row r="26" spans="2:14" ht="18" customHeight="1" x14ac:dyDescent="0.3">
      <c r="B26" s="8"/>
      <c r="C26" s="41"/>
      <c r="D26" s="42"/>
      <c r="E26" s="41"/>
      <c r="F26" s="42"/>
      <c r="G26" s="41"/>
      <c r="H26" s="42"/>
      <c r="I26" s="41"/>
      <c r="J26" s="59"/>
      <c r="K26" s="11"/>
      <c r="L26" s="17"/>
      <c r="M26" s="31"/>
      <c r="N26" s="32"/>
    </row>
    <row r="27" spans="2:14" ht="18" customHeight="1" x14ac:dyDescent="0.3">
      <c r="B27" s="6"/>
      <c r="C27" s="39"/>
      <c r="D27" s="40"/>
      <c r="E27" s="39"/>
      <c r="F27" s="40"/>
      <c r="G27" s="39"/>
      <c r="H27" s="40"/>
      <c r="I27" s="60"/>
      <c r="J27" s="61"/>
      <c r="K27" s="13"/>
      <c r="L27" s="19"/>
      <c r="M27" s="33"/>
      <c r="N27" s="34"/>
    </row>
    <row r="28" spans="2:14" ht="18" customHeight="1" x14ac:dyDescent="0.3">
      <c r="B28" s="8"/>
      <c r="C28" s="41"/>
      <c r="D28" s="42"/>
      <c r="E28" s="41"/>
      <c r="F28" s="42"/>
      <c r="G28" s="41"/>
      <c r="H28" s="42"/>
      <c r="I28" s="41"/>
      <c r="J28" s="59"/>
      <c r="K28" s="43"/>
      <c r="L28" s="16"/>
      <c r="M28" s="35"/>
      <c r="N28" s="36"/>
    </row>
    <row r="29" spans="2:14" ht="18" customHeight="1" x14ac:dyDescent="0.3">
      <c r="B29" s="6"/>
      <c r="C29" s="39"/>
      <c r="D29" s="40"/>
      <c r="E29" s="39"/>
      <c r="F29" s="40"/>
      <c r="G29" s="39"/>
      <c r="H29" s="40"/>
      <c r="I29" s="39"/>
      <c r="J29" s="67"/>
      <c r="K29" s="44"/>
      <c r="L29" s="17"/>
      <c r="M29" s="31"/>
      <c r="N29" s="32"/>
    </row>
    <row r="30" spans="2:14" ht="18" customHeight="1" x14ac:dyDescent="0.3">
      <c r="B30" s="8"/>
      <c r="C30" s="41"/>
      <c r="D30" s="42"/>
      <c r="E30" s="41"/>
      <c r="F30" s="42"/>
      <c r="G30" s="41"/>
      <c r="H30" s="42"/>
      <c r="I30" s="68"/>
      <c r="J30" s="69"/>
      <c r="K30" s="44"/>
      <c r="L30" s="17"/>
      <c r="M30" s="31"/>
      <c r="N30" s="32"/>
    </row>
    <row r="31" spans="2:14" ht="18" customHeight="1" x14ac:dyDescent="0.3">
      <c r="B31" s="6"/>
      <c r="C31" s="39"/>
      <c r="D31" s="40"/>
      <c r="E31" s="39"/>
      <c r="F31" s="40"/>
      <c r="G31" s="39"/>
      <c r="H31" s="40"/>
      <c r="I31" s="39"/>
      <c r="J31" s="67"/>
      <c r="K31" s="14"/>
      <c r="L31" s="17"/>
      <c r="M31" s="31"/>
      <c r="N31" s="32"/>
    </row>
    <row r="32" spans="2:14" ht="18" customHeight="1" x14ac:dyDescent="0.3">
      <c r="B32" s="8"/>
      <c r="C32" s="41"/>
      <c r="D32" s="42"/>
      <c r="E32" s="41"/>
      <c r="F32" s="42"/>
      <c r="G32" s="41"/>
      <c r="H32" s="42"/>
      <c r="I32" s="62"/>
      <c r="J32" s="63"/>
      <c r="K32" s="14"/>
      <c r="L32" s="17"/>
      <c r="M32" s="31"/>
      <c r="N32" s="32"/>
    </row>
    <row r="33" spans="2:14" ht="18" customHeight="1" x14ac:dyDescent="0.35">
      <c r="B33" s="7"/>
      <c r="C33" s="55"/>
      <c r="D33" s="56"/>
      <c r="E33" s="55"/>
      <c r="F33" s="56"/>
      <c r="G33" s="55"/>
      <c r="H33" s="56"/>
      <c r="I33" s="70"/>
      <c r="J33" s="71"/>
      <c r="K33" s="15"/>
      <c r="L33" s="20"/>
      <c r="M33" s="77"/>
      <c r="N33" s="78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4:D24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M6:N6"/>
    <mergeCell ref="M7:N7"/>
    <mergeCell ref="M8:N8"/>
    <mergeCell ref="M9:N9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</mergeCells>
  <conditionalFormatting sqref="C4:H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9" priority="4">
      <formula>VLOOKUP(DAY(C4),КоличествоДней,1,FALSE)=DAY(C4)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/>
    <pageSetUpPr fitToPage="1"/>
  </sheetPr>
  <dimension ref="A1:O33"/>
  <sheetViews>
    <sheetView showGridLines="0" zoomScaleNormal="100" zoomScalePageLayoutView="84" workbookViewId="0">
      <selection activeCell="N2" sqref="N2:N3"/>
    </sheetView>
  </sheetViews>
  <sheetFormatPr defaultRowHeight="16.5" customHeight="1" x14ac:dyDescent="0.25"/>
  <cols>
    <col min="1" max="1" width="2.26953125" style="1" customWidth="1"/>
    <col min="2" max="2" width="17.54296875" style="1" customWidth="1"/>
    <col min="3" max="10" width="9.1796875" style="1" customWidth="1"/>
    <col min="11" max="11" width="7.26953125" style="1" customWidth="1"/>
    <col min="12" max="12" width="3.81640625" customWidth="1"/>
    <col min="13" max="13" width="51.453125" style="1" customWidth="1"/>
    <col min="14" max="14" width="10.7265625" style="1" customWidth="1"/>
    <col min="15" max="15" width="2.26953125" customWidth="1"/>
    <col min="16" max="16384" width="8.7265625" style="1"/>
  </cols>
  <sheetData>
    <row r="1" spans="1:14" ht="11.25" customHeight="1" x14ac:dyDescent="0.25"/>
    <row r="2" spans="1:14" ht="18" customHeight="1" x14ac:dyDescent="0.25">
      <c r="A2" s="4"/>
      <c r="B2" s="30"/>
      <c r="C2" s="21"/>
      <c r="D2" s="21"/>
      <c r="E2" s="21"/>
      <c r="F2" s="21"/>
      <c r="G2" s="21"/>
      <c r="H2" s="21"/>
      <c r="I2" s="21"/>
      <c r="J2" s="22"/>
      <c r="K2" s="48" t="s">
        <v>20</v>
      </c>
      <c r="L2" s="49">
        <v>2013</v>
      </c>
      <c r="M2" s="49"/>
      <c r="N2" s="79">
        <f>КалендарныйГод</f>
        <v>2020</v>
      </c>
    </row>
    <row r="3" spans="1:14" ht="21" customHeight="1" x14ac:dyDescent="0.25">
      <c r="A3" s="4"/>
      <c r="B3" s="72" t="s">
        <v>9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19</v>
      </c>
      <c r="J3" s="5"/>
      <c r="K3" s="50"/>
      <c r="L3" s="51"/>
      <c r="M3" s="51"/>
      <c r="N3" s="80"/>
    </row>
    <row r="4" spans="1:14" ht="18" customHeight="1" x14ac:dyDescent="0.3">
      <c r="A4" s="4"/>
      <c r="B4" s="72"/>
      <c r="C4" s="10">
        <f>IF(DAY(НояВс1)=1,НояВс1-6,НояВс1+1)</f>
        <v>44130</v>
      </c>
      <c r="D4" s="10">
        <f>IF(DAY(НояВс1)=1,НояВс1-5,НояВс1+2)</f>
        <v>44131</v>
      </c>
      <c r="E4" s="10">
        <f>IF(DAY(НояВс1)=1,НояВс1-4,НояВс1+3)</f>
        <v>44132</v>
      </c>
      <c r="F4" s="10">
        <f>IF(DAY(НояВс1)=1,НояВс1-3,НояВс1+4)</f>
        <v>44133</v>
      </c>
      <c r="G4" s="10">
        <f>IF(DAY(НояВс1)=1,НояВс1-2,НояВс1+5)</f>
        <v>44134</v>
      </c>
      <c r="H4" s="10">
        <f>IF(DAY(НояВс1)=1,НояВс1-1,НояВс1+6)</f>
        <v>44135</v>
      </c>
      <c r="I4" s="10">
        <f>IF(DAY(НояВс1)=1,НояВс1,НояВс1+7)</f>
        <v>44136</v>
      </c>
      <c r="J4" s="5"/>
      <c r="K4" s="52"/>
      <c r="L4" s="16"/>
      <c r="M4" s="53"/>
      <c r="N4" s="54"/>
    </row>
    <row r="5" spans="1:14" ht="18" customHeight="1" x14ac:dyDescent="0.3">
      <c r="A5" s="4"/>
      <c r="B5" s="28"/>
      <c r="C5" s="10">
        <f>IF(DAY(НояВс1)=1,НояВс1+1,НояВс1+8)</f>
        <v>44137</v>
      </c>
      <c r="D5" s="10">
        <f>IF(DAY(НояВс1)=1,НояВс1+2,НояВс1+9)</f>
        <v>44138</v>
      </c>
      <c r="E5" s="10">
        <f>IF(DAY(НояВс1)=1,НояВс1+3,НояВс1+10)</f>
        <v>44139</v>
      </c>
      <c r="F5" s="10">
        <f>IF(DAY(НояВс1)=1,НояВс1+4,НояВс1+11)</f>
        <v>44140</v>
      </c>
      <c r="G5" s="10">
        <f>IF(DAY(НояВс1)=1,НояВс1+5,НояВс1+12)</f>
        <v>44141</v>
      </c>
      <c r="H5" s="10">
        <f>IF(DAY(НояВс1)=1,НояВс1+6,НояВс1+13)</f>
        <v>44142</v>
      </c>
      <c r="I5" s="10">
        <f>IF(DAY(НояВс1)=1,НояВс1+7,НояВс1+14)</f>
        <v>44143</v>
      </c>
      <c r="J5" s="5"/>
      <c r="K5" s="44"/>
      <c r="L5" s="17"/>
      <c r="M5" s="31"/>
      <c r="N5" s="32"/>
    </row>
    <row r="6" spans="1:14" ht="18" customHeight="1" x14ac:dyDescent="0.3">
      <c r="A6" s="4"/>
      <c r="B6" s="28"/>
      <c r="C6" s="10">
        <f>IF(DAY(НояВс1)=1,НояВс1+8,НояВс1+15)</f>
        <v>44144</v>
      </c>
      <c r="D6" s="10">
        <f>IF(DAY(НояВс1)=1,НояВс1+9,НояВс1+16)</f>
        <v>44145</v>
      </c>
      <c r="E6" s="10">
        <f>IF(DAY(НояВс1)=1,НояВс1+10,НояВс1+17)</f>
        <v>44146</v>
      </c>
      <c r="F6" s="10">
        <f>IF(DAY(НояВс1)=1,НояВс1+11,НояВс1+18)</f>
        <v>44147</v>
      </c>
      <c r="G6" s="10">
        <f>IF(DAY(НояВс1)=1,НояВс1+12,НояВс1+19)</f>
        <v>44148</v>
      </c>
      <c r="H6" s="10">
        <f>IF(DAY(НояВс1)=1,НояВс1+13,НояВс1+20)</f>
        <v>44149</v>
      </c>
      <c r="I6" s="10">
        <f>IF(DAY(НояВс1)=1,НояВс1+14,НояВс1+21)</f>
        <v>44150</v>
      </c>
      <c r="J6" s="5"/>
      <c r="K6" s="44"/>
      <c r="L6" s="17"/>
      <c r="M6" s="31"/>
      <c r="N6" s="32"/>
    </row>
    <row r="7" spans="1:14" ht="18" customHeight="1" x14ac:dyDescent="0.3">
      <c r="A7" s="4"/>
      <c r="B7" s="28"/>
      <c r="C7" s="10">
        <f>IF(DAY(НояВс1)=1,НояВс1+15,НояВс1+22)</f>
        <v>44151</v>
      </c>
      <c r="D7" s="10">
        <f>IF(DAY(НояВс1)=1,НояВс1+16,НояВс1+23)</f>
        <v>44152</v>
      </c>
      <c r="E7" s="10">
        <f>IF(DAY(НояВс1)=1,НояВс1+17,НояВс1+24)</f>
        <v>44153</v>
      </c>
      <c r="F7" s="10">
        <f>IF(DAY(НояВс1)=1,НояВс1+18,НояВс1+25)</f>
        <v>44154</v>
      </c>
      <c r="G7" s="10">
        <f>IF(DAY(НояВс1)=1,НояВс1+19,НояВс1+26)</f>
        <v>44155</v>
      </c>
      <c r="H7" s="10">
        <f>IF(DAY(НояВс1)=1,НояВс1+20,НояВс1+27)</f>
        <v>44156</v>
      </c>
      <c r="I7" s="10">
        <f>IF(DAY(НояВс1)=1,НояВс1+21,НояВс1+28)</f>
        <v>44157</v>
      </c>
      <c r="J7" s="5"/>
      <c r="K7" s="11"/>
      <c r="L7" s="17"/>
      <c r="M7" s="31"/>
      <c r="N7" s="32"/>
    </row>
    <row r="8" spans="1:14" ht="18.75" customHeight="1" x14ac:dyDescent="0.3">
      <c r="A8" s="4"/>
      <c r="B8" s="28"/>
      <c r="C8" s="10">
        <f>IF(DAY(НояВс1)=1,НояВс1+22,НояВс1+29)</f>
        <v>44158</v>
      </c>
      <c r="D8" s="10">
        <f>IF(DAY(НояВс1)=1,НояВс1+23,НояВс1+30)</f>
        <v>44159</v>
      </c>
      <c r="E8" s="10">
        <f>IF(DAY(НояВс1)=1,НояВс1+24,НояВс1+31)</f>
        <v>44160</v>
      </c>
      <c r="F8" s="10">
        <f>IF(DAY(НояВс1)=1,НояВс1+25,НояВс1+32)</f>
        <v>44161</v>
      </c>
      <c r="G8" s="10">
        <f>IF(DAY(НояВс1)=1,НояВс1+26,НояВс1+33)</f>
        <v>44162</v>
      </c>
      <c r="H8" s="10">
        <f>IF(DAY(НояВс1)=1,НояВс1+27,НояВс1+34)</f>
        <v>44163</v>
      </c>
      <c r="I8" s="10">
        <f>IF(DAY(НояВс1)=1,НояВс1+28,НояВс1+35)</f>
        <v>44164</v>
      </c>
      <c r="J8" s="5"/>
      <c r="K8" s="11"/>
      <c r="L8" s="17"/>
      <c r="M8" s="31"/>
      <c r="N8" s="32"/>
    </row>
    <row r="9" spans="1:14" ht="18" customHeight="1" x14ac:dyDescent="0.3">
      <c r="A9" s="4"/>
      <c r="B9" s="28"/>
      <c r="C9" s="10">
        <f>IF(DAY(НояВс1)=1,НояВс1+29,НояВс1+36)</f>
        <v>44165</v>
      </c>
      <c r="D9" s="10">
        <f>IF(DAY(НояВс1)=1,НояВс1+30,НояВс1+37)</f>
        <v>44166</v>
      </c>
      <c r="E9" s="10">
        <f>IF(DAY(НояВс1)=1,НояВс1+31,НояВс1+38)</f>
        <v>44167</v>
      </c>
      <c r="F9" s="10">
        <f>IF(DAY(НояВс1)=1,НояВс1+32,НояВс1+39)</f>
        <v>44168</v>
      </c>
      <c r="G9" s="10">
        <f>IF(DAY(НояВс1)=1,НояВс1+33,НояВс1+40)</f>
        <v>44169</v>
      </c>
      <c r="H9" s="10">
        <f>IF(DAY(НояВс1)=1,НояВс1+34,НояВс1+41)</f>
        <v>44170</v>
      </c>
      <c r="I9" s="10">
        <f>IF(DAY(НояВс1)=1,НояВс1+35,НояВс1+42)</f>
        <v>44171</v>
      </c>
      <c r="J9" s="5"/>
      <c r="K9" s="12"/>
      <c r="L9" s="18"/>
      <c r="M9" s="33"/>
      <c r="N9" s="34"/>
    </row>
    <row r="10" spans="1:14" ht="18" customHeight="1" x14ac:dyDescent="0.3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43"/>
      <c r="L10" s="16"/>
      <c r="M10" s="35"/>
      <c r="N10" s="36"/>
    </row>
    <row r="11" spans="1:14" ht="18" customHeight="1" x14ac:dyDescent="0.3">
      <c r="A11" s="4"/>
      <c r="B11" s="74" t="s">
        <v>1</v>
      </c>
      <c r="C11" s="75"/>
      <c r="D11" s="75"/>
      <c r="E11" s="75"/>
      <c r="F11" s="75"/>
      <c r="G11" s="75"/>
      <c r="H11" s="75"/>
      <c r="I11" s="75"/>
      <c r="J11" s="76"/>
      <c r="K11" s="44"/>
      <c r="L11" s="17"/>
      <c r="M11" s="31"/>
      <c r="N11" s="32"/>
    </row>
    <row r="12" spans="1:14" ht="18" customHeight="1" x14ac:dyDescent="0.3">
      <c r="A12" s="4"/>
      <c r="B12" s="74"/>
      <c r="C12" s="75"/>
      <c r="D12" s="75"/>
      <c r="E12" s="75"/>
      <c r="F12" s="75"/>
      <c r="G12" s="75"/>
      <c r="H12" s="75"/>
      <c r="I12" s="75"/>
      <c r="J12" s="76"/>
      <c r="K12" s="44"/>
      <c r="L12" s="17"/>
      <c r="M12" s="31"/>
      <c r="N12" s="32"/>
    </row>
    <row r="13" spans="1:14" ht="18" customHeight="1" x14ac:dyDescent="0.3">
      <c r="B13" s="3" t="s">
        <v>2</v>
      </c>
      <c r="C13" s="45" t="s">
        <v>3</v>
      </c>
      <c r="D13" s="47"/>
      <c r="E13" s="45" t="s">
        <v>4</v>
      </c>
      <c r="F13" s="47"/>
      <c r="G13" s="45" t="s">
        <v>5</v>
      </c>
      <c r="H13" s="47"/>
      <c r="I13" s="45" t="s">
        <v>6</v>
      </c>
      <c r="J13" s="46"/>
      <c r="K13" s="11"/>
      <c r="L13" s="17"/>
      <c r="M13" s="31"/>
      <c r="N13" s="32"/>
    </row>
    <row r="14" spans="1:14" ht="18" customHeight="1" x14ac:dyDescent="0.3">
      <c r="B14" s="8"/>
      <c r="C14" s="41"/>
      <c r="D14" s="42"/>
      <c r="E14" s="41"/>
      <c r="F14" s="42"/>
      <c r="G14" s="41"/>
      <c r="H14" s="42"/>
      <c r="I14" s="41"/>
      <c r="J14" s="59"/>
      <c r="K14" s="11"/>
      <c r="L14" s="17"/>
      <c r="M14" s="31"/>
      <c r="N14" s="32"/>
    </row>
    <row r="15" spans="1:14" ht="18" customHeight="1" x14ac:dyDescent="0.3">
      <c r="B15" s="6"/>
      <c r="C15" s="39"/>
      <c r="D15" s="40"/>
      <c r="E15" s="39"/>
      <c r="F15" s="40"/>
      <c r="G15" s="39"/>
      <c r="H15" s="40"/>
      <c r="I15" s="60"/>
      <c r="J15" s="61"/>
      <c r="K15" s="13"/>
      <c r="L15" s="19"/>
      <c r="M15" s="33"/>
      <c r="N15" s="34"/>
    </row>
    <row r="16" spans="1:14" ht="18" customHeight="1" x14ac:dyDescent="0.3">
      <c r="B16" s="8"/>
      <c r="C16" s="41"/>
      <c r="D16" s="42"/>
      <c r="E16" s="41"/>
      <c r="F16" s="42"/>
      <c r="G16" s="41"/>
      <c r="H16" s="42"/>
      <c r="I16" s="62"/>
      <c r="J16" s="63"/>
      <c r="K16" s="43"/>
      <c r="L16" s="16"/>
      <c r="M16" s="35"/>
      <c r="N16" s="36"/>
    </row>
    <row r="17" spans="2:14" ht="18" customHeight="1" x14ac:dyDescent="0.3">
      <c r="B17" s="6"/>
      <c r="C17" s="39"/>
      <c r="D17" s="40"/>
      <c r="E17" s="39"/>
      <c r="F17" s="40"/>
      <c r="G17" s="39"/>
      <c r="H17" s="40"/>
      <c r="I17" s="60"/>
      <c r="J17" s="61"/>
      <c r="K17" s="44"/>
      <c r="L17" s="17"/>
      <c r="M17" s="31"/>
      <c r="N17" s="32"/>
    </row>
    <row r="18" spans="2:14" ht="18" customHeight="1" x14ac:dyDescent="0.3">
      <c r="B18" s="9"/>
      <c r="C18" s="57"/>
      <c r="D18" s="58"/>
      <c r="E18" s="57"/>
      <c r="F18" s="58"/>
      <c r="G18" s="57"/>
      <c r="H18" s="58"/>
      <c r="I18" s="57"/>
      <c r="J18" s="66"/>
      <c r="K18" s="44"/>
      <c r="L18" s="17"/>
      <c r="M18" s="31"/>
      <c r="N18" s="32"/>
    </row>
    <row r="19" spans="2:14" ht="18" customHeight="1" x14ac:dyDescent="0.3">
      <c r="B19" s="6"/>
      <c r="C19" s="39"/>
      <c r="D19" s="40"/>
      <c r="E19" s="39"/>
      <c r="F19" s="40"/>
      <c r="G19" s="39"/>
      <c r="H19" s="40"/>
      <c r="I19" s="60"/>
      <c r="J19" s="61"/>
      <c r="K19" s="11"/>
      <c r="L19" s="17"/>
      <c r="M19" s="31"/>
      <c r="N19" s="32"/>
    </row>
    <row r="20" spans="2:14" ht="18" customHeight="1" x14ac:dyDescent="0.3">
      <c r="B20" s="8"/>
      <c r="C20" s="41"/>
      <c r="D20" s="42"/>
      <c r="E20" s="41"/>
      <c r="F20" s="42"/>
      <c r="G20" s="41"/>
      <c r="H20" s="42"/>
      <c r="I20" s="41"/>
      <c r="J20" s="59"/>
      <c r="K20" s="11"/>
      <c r="L20" s="17"/>
      <c r="M20" s="31"/>
      <c r="N20" s="32"/>
    </row>
    <row r="21" spans="2:14" ht="18" customHeight="1" x14ac:dyDescent="0.3">
      <c r="B21" s="6"/>
      <c r="C21" s="39"/>
      <c r="D21" s="40"/>
      <c r="E21" s="39"/>
      <c r="F21" s="40"/>
      <c r="G21" s="39"/>
      <c r="H21" s="40"/>
      <c r="I21" s="64"/>
      <c r="J21" s="65"/>
      <c r="K21" s="13"/>
      <c r="L21" s="19"/>
      <c r="M21" s="33"/>
      <c r="N21" s="34"/>
    </row>
    <row r="22" spans="2:14" ht="18" customHeight="1" x14ac:dyDescent="0.3">
      <c r="B22" s="8"/>
      <c r="C22" s="41"/>
      <c r="D22" s="42"/>
      <c r="E22" s="41"/>
      <c r="F22" s="42"/>
      <c r="G22" s="41"/>
      <c r="H22" s="42"/>
      <c r="I22" s="41"/>
      <c r="J22" s="59"/>
      <c r="K22" s="43"/>
      <c r="L22" s="16"/>
      <c r="M22" s="35"/>
      <c r="N22" s="36"/>
    </row>
    <row r="23" spans="2:14" ht="18" customHeight="1" x14ac:dyDescent="0.3">
      <c r="B23" s="6"/>
      <c r="C23" s="39"/>
      <c r="D23" s="40"/>
      <c r="E23" s="39"/>
      <c r="F23" s="40"/>
      <c r="G23" s="39"/>
      <c r="H23" s="40"/>
      <c r="I23" s="60"/>
      <c r="J23" s="61"/>
      <c r="K23" s="44"/>
      <c r="L23" s="17"/>
      <c r="M23" s="31"/>
      <c r="N23" s="32"/>
    </row>
    <row r="24" spans="2:14" ht="18" customHeight="1" x14ac:dyDescent="0.3">
      <c r="B24" s="8"/>
      <c r="C24" s="41"/>
      <c r="D24" s="42"/>
      <c r="E24" s="41"/>
      <c r="F24" s="42"/>
      <c r="G24" s="41"/>
      <c r="H24" s="42"/>
      <c r="I24" s="41"/>
      <c r="J24" s="59"/>
      <c r="K24" s="44"/>
      <c r="L24" s="17"/>
      <c r="M24" s="31"/>
      <c r="N24" s="32"/>
    </row>
    <row r="25" spans="2:14" ht="18" customHeight="1" x14ac:dyDescent="0.3">
      <c r="B25" s="6"/>
      <c r="C25" s="39"/>
      <c r="D25" s="40"/>
      <c r="E25" s="39"/>
      <c r="F25" s="40"/>
      <c r="G25" s="39"/>
      <c r="H25" s="40"/>
      <c r="I25" s="60"/>
      <c r="J25" s="61"/>
      <c r="K25" s="44"/>
      <c r="L25" s="17"/>
      <c r="M25" s="31"/>
      <c r="N25" s="32"/>
    </row>
    <row r="26" spans="2:14" ht="18" customHeight="1" x14ac:dyDescent="0.3">
      <c r="B26" s="8"/>
      <c r="C26" s="41"/>
      <c r="D26" s="42"/>
      <c r="E26" s="41"/>
      <c r="F26" s="42"/>
      <c r="G26" s="41"/>
      <c r="H26" s="42"/>
      <c r="I26" s="41"/>
      <c r="J26" s="59"/>
      <c r="K26" s="11"/>
      <c r="L26" s="17"/>
      <c r="M26" s="31"/>
      <c r="N26" s="32"/>
    </row>
    <row r="27" spans="2:14" ht="18" customHeight="1" x14ac:dyDescent="0.3">
      <c r="B27" s="6"/>
      <c r="C27" s="39"/>
      <c r="D27" s="40"/>
      <c r="E27" s="39"/>
      <c r="F27" s="40"/>
      <c r="G27" s="39"/>
      <c r="H27" s="40"/>
      <c r="I27" s="60"/>
      <c r="J27" s="61"/>
      <c r="K27" s="13"/>
      <c r="L27" s="19"/>
      <c r="M27" s="33"/>
      <c r="N27" s="34"/>
    </row>
    <row r="28" spans="2:14" ht="18" customHeight="1" x14ac:dyDescent="0.3">
      <c r="B28" s="8"/>
      <c r="C28" s="41"/>
      <c r="D28" s="42"/>
      <c r="E28" s="41"/>
      <c r="F28" s="42"/>
      <c r="G28" s="41"/>
      <c r="H28" s="42"/>
      <c r="I28" s="41"/>
      <c r="J28" s="59"/>
      <c r="K28" s="43"/>
      <c r="L28" s="16"/>
      <c r="M28" s="35"/>
      <c r="N28" s="36"/>
    </row>
    <row r="29" spans="2:14" ht="18" customHeight="1" x14ac:dyDescent="0.3">
      <c r="B29" s="6"/>
      <c r="C29" s="39"/>
      <c r="D29" s="40"/>
      <c r="E29" s="39"/>
      <c r="F29" s="40"/>
      <c r="G29" s="39"/>
      <c r="H29" s="40"/>
      <c r="I29" s="39"/>
      <c r="J29" s="67"/>
      <c r="K29" s="44"/>
      <c r="L29" s="17"/>
      <c r="M29" s="31"/>
      <c r="N29" s="32"/>
    </row>
    <row r="30" spans="2:14" ht="18" customHeight="1" x14ac:dyDescent="0.3">
      <c r="B30" s="8"/>
      <c r="C30" s="41"/>
      <c r="D30" s="42"/>
      <c r="E30" s="41"/>
      <c r="F30" s="42"/>
      <c r="G30" s="41"/>
      <c r="H30" s="42"/>
      <c r="I30" s="68"/>
      <c r="J30" s="69"/>
      <c r="K30" s="44"/>
      <c r="L30" s="17"/>
      <c r="M30" s="31"/>
      <c r="N30" s="32"/>
    </row>
    <row r="31" spans="2:14" ht="18" customHeight="1" x14ac:dyDescent="0.3">
      <c r="B31" s="6"/>
      <c r="C31" s="39"/>
      <c r="D31" s="40"/>
      <c r="E31" s="39"/>
      <c r="F31" s="40"/>
      <c r="G31" s="39"/>
      <c r="H31" s="40"/>
      <c r="I31" s="39"/>
      <c r="J31" s="67"/>
      <c r="K31" s="14"/>
      <c r="L31" s="17"/>
      <c r="M31" s="31"/>
      <c r="N31" s="32"/>
    </row>
    <row r="32" spans="2:14" ht="18" customHeight="1" x14ac:dyDescent="0.3">
      <c r="B32" s="8"/>
      <c r="C32" s="41"/>
      <c r="D32" s="42"/>
      <c r="E32" s="41"/>
      <c r="F32" s="42"/>
      <c r="G32" s="41"/>
      <c r="H32" s="42"/>
      <c r="I32" s="62"/>
      <c r="J32" s="63"/>
      <c r="K32" s="14"/>
      <c r="L32" s="17"/>
      <c r="M32" s="31"/>
      <c r="N32" s="32"/>
    </row>
    <row r="33" spans="2:14" ht="18" customHeight="1" x14ac:dyDescent="0.35">
      <c r="B33" s="7"/>
      <c r="C33" s="55"/>
      <c r="D33" s="56"/>
      <c r="E33" s="55"/>
      <c r="F33" s="56"/>
      <c r="G33" s="55"/>
      <c r="H33" s="56"/>
      <c r="I33" s="70"/>
      <c r="J33" s="71"/>
      <c r="K33" s="15"/>
      <c r="L33" s="20"/>
      <c r="M33" s="77"/>
      <c r="N33" s="78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4:D24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M6:N6"/>
    <mergeCell ref="M7:N7"/>
    <mergeCell ref="M8:N8"/>
    <mergeCell ref="M9:N9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</mergeCells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5" priority="4">
      <formula>VLOOKUP(DAY(C4),КоличествоДней,1,FALSE)=DAY(C4)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/>
    <pageSetUpPr fitToPage="1"/>
  </sheetPr>
  <dimension ref="A1:O33"/>
  <sheetViews>
    <sheetView showGridLines="0" zoomScaleNormal="100" zoomScalePageLayoutView="84" workbookViewId="0">
      <selection activeCell="N2" sqref="N2:N3"/>
    </sheetView>
  </sheetViews>
  <sheetFormatPr defaultRowHeight="16.5" customHeight="1" x14ac:dyDescent="0.25"/>
  <cols>
    <col min="1" max="1" width="2.26953125" style="1" customWidth="1"/>
    <col min="2" max="2" width="17.54296875" style="1" customWidth="1"/>
    <col min="3" max="10" width="9.1796875" style="1" customWidth="1"/>
    <col min="11" max="11" width="7.26953125" style="1" customWidth="1"/>
    <col min="12" max="12" width="3.81640625" customWidth="1"/>
    <col min="13" max="13" width="51.453125" style="1" customWidth="1"/>
    <col min="14" max="14" width="10.7265625" style="1" customWidth="1"/>
    <col min="15" max="15" width="2.26953125" customWidth="1"/>
    <col min="16" max="16384" width="8.7265625" style="1"/>
  </cols>
  <sheetData>
    <row r="1" spans="1:14" ht="11.25" customHeight="1" x14ac:dyDescent="0.25"/>
    <row r="2" spans="1:14" ht="18" customHeight="1" x14ac:dyDescent="0.25">
      <c r="A2" s="4"/>
      <c r="B2" s="30"/>
      <c r="C2" s="21"/>
      <c r="D2" s="21"/>
      <c r="E2" s="21"/>
      <c r="F2" s="21"/>
      <c r="G2" s="21"/>
      <c r="H2" s="21"/>
      <c r="I2" s="21"/>
      <c r="J2" s="22"/>
      <c r="K2" s="48" t="s">
        <v>20</v>
      </c>
      <c r="L2" s="49">
        <v>2013</v>
      </c>
      <c r="M2" s="49"/>
      <c r="N2" s="79">
        <f>КалендарныйГод</f>
        <v>2020</v>
      </c>
    </row>
    <row r="3" spans="1:14" ht="21" customHeight="1" x14ac:dyDescent="0.25">
      <c r="A3" s="4"/>
      <c r="B3" s="72" t="s">
        <v>10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19</v>
      </c>
      <c r="J3" s="5"/>
      <c r="K3" s="50"/>
      <c r="L3" s="51"/>
      <c r="M3" s="51"/>
      <c r="N3" s="80"/>
    </row>
    <row r="4" spans="1:14" ht="18" customHeight="1" x14ac:dyDescent="0.3">
      <c r="A4" s="4"/>
      <c r="B4" s="72"/>
      <c r="C4" s="10">
        <f>IF(DAY(ДекВс1)=1,ДекВс1-6,ДекВс1+1)</f>
        <v>44165</v>
      </c>
      <c r="D4" s="10">
        <f>IF(DAY(ДекВс1)=1,ДекВс1-5,ДекВс1+2)</f>
        <v>44166</v>
      </c>
      <c r="E4" s="10">
        <f>IF(DAY(ДекВс1)=1,ДекВс1-4,ДекВс1+3)</f>
        <v>44167</v>
      </c>
      <c r="F4" s="10">
        <f>IF(DAY(ДекВс1)=1,ДекВс1-3,ДекВс1+4)</f>
        <v>44168</v>
      </c>
      <c r="G4" s="10">
        <f>IF(DAY(ДекВс1)=1,ДекВс1-2,ДекВс1+5)</f>
        <v>44169</v>
      </c>
      <c r="H4" s="10">
        <f>IF(DAY(ДекВс1)=1,ДекВс1-1,ДекВс1+6)</f>
        <v>44170</v>
      </c>
      <c r="I4" s="10">
        <f>IF(DAY(ДекВс1)=1,ДекВс1,ДекВс1+7)</f>
        <v>44171</v>
      </c>
      <c r="J4" s="5"/>
      <c r="K4" s="52"/>
      <c r="L4" s="16"/>
      <c r="M4" s="53"/>
      <c r="N4" s="54"/>
    </row>
    <row r="5" spans="1:14" ht="18" customHeight="1" x14ac:dyDescent="0.3">
      <c r="A5" s="4"/>
      <c r="B5" s="28"/>
      <c r="C5" s="10">
        <f>IF(DAY(ДекВс1)=1,ДекВс1+1,ДекВс1+8)</f>
        <v>44172</v>
      </c>
      <c r="D5" s="10">
        <f>IF(DAY(ДекВс1)=1,ДекВс1+2,ДекВс1+9)</f>
        <v>44173</v>
      </c>
      <c r="E5" s="10">
        <f>IF(DAY(ДекВс1)=1,ДекВс1+3,ДекВс1+10)</f>
        <v>44174</v>
      </c>
      <c r="F5" s="10">
        <f>IF(DAY(ДекВс1)=1,ДекВс1+4,ДекВс1+11)</f>
        <v>44175</v>
      </c>
      <c r="G5" s="10">
        <f>IF(DAY(ДекВс1)=1,ДекВс1+5,ДекВс1+12)</f>
        <v>44176</v>
      </c>
      <c r="H5" s="10">
        <f>IF(DAY(ДекВс1)=1,ДекВс1+6,ДекВс1+13)</f>
        <v>44177</v>
      </c>
      <c r="I5" s="10">
        <f>IF(DAY(ДекВс1)=1,ДекВс1+7,ДекВс1+14)</f>
        <v>44178</v>
      </c>
      <c r="J5" s="5"/>
      <c r="K5" s="44"/>
      <c r="L5" s="17"/>
      <c r="M5" s="31"/>
      <c r="N5" s="32"/>
    </row>
    <row r="6" spans="1:14" ht="18" customHeight="1" x14ac:dyDescent="0.3">
      <c r="A6" s="4"/>
      <c r="B6" s="28"/>
      <c r="C6" s="10">
        <f>IF(DAY(ДекВс1)=1,ДекВс1+8,ДекВс1+15)</f>
        <v>44179</v>
      </c>
      <c r="D6" s="10">
        <f>IF(DAY(ДекВс1)=1,ДекВс1+9,ДекВс1+16)</f>
        <v>44180</v>
      </c>
      <c r="E6" s="10">
        <f>IF(DAY(ДекВс1)=1,ДекВс1+10,ДекВс1+17)</f>
        <v>44181</v>
      </c>
      <c r="F6" s="10">
        <f>IF(DAY(ДекВс1)=1,ДекВс1+11,ДекВс1+18)</f>
        <v>44182</v>
      </c>
      <c r="G6" s="10">
        <f>IF(DAY(ДекВс1)=1,ДекВс1+12,ДекВс1+19)</f>
        <v>44183</v>
      </c>
      <c r="H6" s="10">
        <f>IF(DAY(ДекВс1)=1,ДекВс1+13,ДекВс1+20)</f>
        <v>44184</v>
      </c>
      <c r="I6" s="10">
        <f>IF(DAY(ДекВс1)=1,ДекВс1+14,ДекВс1+21)</f>
        <v>44185</v>
      </c>
      <c r="J6" s="5"/>
      <c r="K6" s="44"/>
      <c r="L6" s="17"/>
      <c r="M6" s="31"/>
      <c r="N6" s="32"/>
    </row>
    <row r="7" spans="1:14" ht="18" customHeight="1" x14ac:dyDescent="0.3">
      <c r="A7" s="4"/>
      <c r="B7" s="28"/>
      <c r="C7" s="10">
        <f>IF(DAY(ДекВс1)=1,ДекВс1+15,ДекВс1+22)</f>
        <v>44186</v>
      </c>
      <c r="D7" s="10">
        <f>IF(DAY(ДекВс1)=1,ДекВс1+16,ДекВс1+23)</f>
        <v>44187</v>
      </c>
      <c r="E7" s="10">
        <f>IF(DAY(ДекВс1)=1,ДекВс1+17,ДекВс1+24)</f>
        <v>44188</v>
      </c>
      <c r="F7" s="10">
        <f>IF(DAY(ДекВс1)=1,ДекВс1+18,ДекВс1+25)</f>
        <v>44189</v>
      </c>
      <c r="G7" s="10">
        <f>IF(DAY(ДекВс1)=1,ДекВс1+19,ДекВс1+26)</f>
        <v>44190</v>
      </c>
      <c r="H7" s="10">
        <f>IF(DAY(ДекВс1)=1,ДекВс1+20,ДекВс1+27)</f>
        <v>44191</v>
      </c>
      <c r="I7" s="10">
        <f>IF(DAY(ДекВс1)=1,ДекВс1+21,ДекВс1+28)</f>
        <v>44192</v>
      </c>
      <c r="J7" s="5"/>
      <c r="K7" s="11"/>
      <c r="L7" s="17"/>
      <c r="M7" s="31"/>
      <c r="N7" s="32"/>
    </row>
    <row r="8" spans="1:14" ht="18.75" customHeight="1" x14ac:dyDescent="0.3">
      <c r="A8" s="4"/>
      <c r="B8" s="28"/>
      <c r="C8" s="10">
        <f>IF(DAY(ДекВс1)=1,ДекВс1+22,ДекВс1+29)</f>
        <v>44193</v>
      </c>
      <c r="D8" s="10">
        <f>IF(DAY(ДекВс1)=1,ДекВс1+23,ДекВс1+30)</f>
        <v>44194</v>
      </c>
      <c r="E8" s="10">
        <f>IF(DAY(ДекВс1)=1,ДекВс1+24,ДекВс1+31)</f>
        <v>44195</v>
      </c>
      <c r="F8" s="10">
        <f>IF(DAY(ДекВс1)=1,ДекВс1+25,ДекВс1+32)</f>
        <v>44196</v>
      </c>
      <c r="G8" s="10">
        <f>IF(DAY(ДекВс1)=1,ДекВс1+26,ДекВс1+33)</f>
        <v>44197</v>
      </c>
      <c r="H8" s="10">
        <f>IF(DAY(ДекВс1)=1,ДекВс1+27,ДекВс1+34)</f>
        <v>44198</v>
      </c>
      <c r="I8" s="10">
        <f>IF(DAY(ДекВс1)=1,ДекВс1+28,ДекВс1+35)</f>
        <v>44199</v>
      </c>
      <c r="J8" s="5"/>
      <c r="K8" s="11"/>
      <c r="L8" s="17"/>
      <c r="M8" s="31"/>
      <c r="N8" s="32"/>
    </row>
    <row r="9" spans="1:14" ht="18" customHeight="1" x14ac:dyDescent="0.3">
      <c r="A9" s="4"/>
      <c r="B9" s="28"/>
      <c r="C9" s="10">
        <f>IF(DAY(ДекВс1)=1,ДекВс1+29,ДекВс1+36)</f>
        <v>44200</v>
      </c>
      <c r="D9" s="10">
        <f>IF(DAY(ДекВс1)=1,ДекВс1+30,ДекВс1+37)</f>
        <v>44201</v>
      </c>
      <c r="E9" s="10">
        <f>IF(DAY(ДекВс1)=1,ДекВс1+31,ДекВс1+38)</f>
        <v>44202</v>
      </c>
      <c r="F9" s="10">
        <f>IF(DAY(ДекВс1)=1,ДекВс1+32,ДекВс1+39)</f>
        <v>44203</v>
      </c>
      <c r="G9" s="10">
        <f>IF(DAY(ДекВс1)=1,ДекВс1+33,ДекВс1+40)</f>
        <v>44204</v>
      </c>
      <c r="H9" s="10">
        <f>IF(DAY(ДекВс1)=1,ДекВс1+34,ДекВс1+41)</f>
        <v>44205</v>
      </c>
      <c r="I9" s="10">
        <f>IF(DAY(ДекВс1)=1,ДекВс1+35,ДекВс1+42)</f>
        <v>44206</v>
      </c>
      <c r="J9" s="5"/>
      <c r="K9" s="12"/>
      <c r="L9" s="18"/>
      <c r="M9" s="33"/>
      <c r="N9" s="34"/>
    </row>
    <row r="10" spans="1:14" ht="18" customHeight="1" x14ac:dyDescent="0.3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43"/>
      <c r="L10" s="16"/>
      <c r="M10" s="35"/>
      <c r="N10" s="36"/>
    </row>
    <row r="11" spans="1:14" ht="18" customHeight="1" x14ac:dyDescent="0.3">
      <c r="A11" s="4"/>
      <c r="B11" s="74" t="s">
        <v>1</v>
      </c>
      <c r="C11" s="75"/>
      <c r="D11" s="75"/>
      <c r="E11" s="75"/>
      <c r="F11" s="75"/>
      <c r="G11" s="75"/>
      <c r="H11" s="75"/>
      <c r="I11" s="75"/>
      <c r="J11" s="76"/>
      <c r="K11" s="44"/>
      <c r="L11" s="17"/>
      <c r="M11" s="31"/>
      <c r="N11" s="32"/>
    </row>
    <row r="12" spans="1:14" ht="18" customHeight="1" x14ac:dyDescent="0.3">
      <c r="A12" s="4"/>
      <c r="B12" s="74"/>
      <c r="C12" s="75"/>
      <c r="D12" s="75"/>
      <c r="E12" s="75"/>
      <c r="F12" s="75"/>
      <c r="G12" s="75"/>
      <c r="H12" s="75"/>
      <c r="I12" s="75"/>
      <c r="J12" s="76"/>
      <c r="K12" s="44"/>
      <c r="L12" s="17"/>
      <c r="M12" s="31"/>
      <c r="N12" s="32"/>
    </row>
    <row r="13" spans="1:14" ht="18" customHeight="1" x14ac:dyDescent="0.3">
      <c r="B13" s="3" t="s">
        <v>2</v>
      </c>
      <c r="C13" s="45" t="s">
        <v>3</v>
      </c>
      <c r="D13" s="47"/>
      <c r="E13" s="45" t="s">
        <v>4</v>
      </c>
      <c r="F13" s="47"/>
      <c r="G13" s="45" t="s">
        <v>5</v>
      </c>
      <c r="H13" s="47"/>
      <c r="I13" s="45" t="s">
        <v>6</v>
      </c>
      <c r="J13" s="46"/>
      <c r="K13" s="11"/>
      <c r="L13" s="17"/>
      <c r="M13" s="31"/>
      <c r="N13" s="32"/>
    </row>
    <row r="14" spans="1:14" ht="18" customHeight="1" x14ac:dyDescent="0.3">
      <c r="B14" s="8"/>
      <c r="C14" s="41"/>
      <c r="D14" s="42"/>
      <c r="E14" s="41"/>
      <c r="F14" s="42"/>
      <c r="G14" s="41"/>
      <c r="H14" s="42"/>
      <c r="I14" s="41"/>
      <c r="J14" s="59"/>
      <c r="K14" s="11"/>
      <c r="L14" s="17"/>
      <c r="M14" s="31"/>
      <c r="N14" s="32"/>
    </row>
    <row r="15" spans="1:14" ht="18" customHeight="1" x14ac:dyDescent="0.3">
      <c r="B15" s="6"/>
      <c r="C15" s="39"/>
      <c r="D15" s="40"/>
      <c r="E15" s="39"/>
      <c r="F15" s="40"/>
      <c r="G15" s="39"/>
      <c r="H15" s="40"/>
      <c r="I15" s="60"/>
      <c r="J15" s="61"/>
      <c r="K15" s="13"/>
      <c r="L15" s="19"/>
      <c r="M15" s="33"/>
      <c r="N15" s="34"/>
    </row>
    <row r="16" spans="1:14" ht="18" customHeight="1" x14ac:dyDescent="0.3">
      <c r="B16" s="8"/>
      <c r="C16" s="41"/>
      <c r="D16" s="42"/>
      <c r="E16" s="41"/>
      <c r="F16" s="42"/>
      <c r="G16" s="41"/>
      <c r="H16" s="42"/>
      <c r="I16" s="62"/>
      <c r="J16" s="63"/>
      <c r="K16" s="43"/>
      <c r="L16" s="16"/>
      <c r="M16" s="35"/>
      <c r="N16" s="36"/>
    </row>
    <row r="17" spans="2:14" ht="18" customHeight="1" x14ac:dyDescent="0.3">
      <c r="B17" s="6"/>
      <c r="C17" s="39"/>
      <c r="D17" s="40"/>
      <c r="E17" s="39"/>
      <c r="F17" s="40"/>
      <c r="G17" s="39"/>
      <c r="H17" s="40"/>
      <c r="I17" s="60"/>
      <c r="J17" s="61"/>
      <c r="K17" s="44"/>
      <c r="L17" s="17"/>
      <c r="M17" s="31"/>
      <c r="N17" s="32"/>
    </row>
    <row r="18" spans="2:14" ht="18" customHeight="1" x14ac:dyDescent="0.3">
      <c r="B18" s="9"/>
      <c r="C18" s="57"/>
      <c r="D18" s="58"/>
      <c r="E18" s="57"/>
      <c r="F18" s="58"/>
      <c r="G18" s="57"/>
      <c r="H18" s="58"/>
      <c r="I18" s="57"/>
      <c r="J18" s="66"/>
      <c r="K18" s="44"/>
      <c r="L18" s="17"/>
      <c r="M18" s="31"/>
      <c r="N18" s="32"/>
    </row>
    <row r="19" spans="2:14" ht="18" customHeight="1" x14ac:dyDescent="0.3">
      <c r="B19" s="6"/>
      <c r="C19" s="39"/>
      <c r="D19" s="40"/>
      <c r="E19" s="39"/>
      <c r="F19" s="40"/>
      <c r="G19" s="39"/>
      <c r="H19" s="40"/>
      <c r="I19" s="60"/>
      <c r="J19" s="61"/>
      <c r="K19" s="11"/>
      <c r="L19" s="17"/>
      <c r="M19" s="31"/>
      <c r="N19" s="32"/>
    </row>
    <row r="20" spans="2:14" ht="18" customHeight="1" x14ac:dyDescent="0.3">
      <c r="B20" s="8"/>
      <c r="C20" s="41"/>
      <c r="D20" s="42"/>
      <c r="E20" s="41"/>
      <c r="F20" s="42"/>
      <c r="G20" s="41"/>
      <c r="H20" s="42"/>
      <c r="I20" s="41"/>
      <c r="J20" s="59"/>
      <c r="K20" s="11"/>
      <c r="L20" s="17"/>
      <c r="M20" s="31"/>
      <c r="N20" s="32"/>
    </row>
    <row r="21" spans="2:14" ht="18" customHeight="1" x14ac:dyDescent="0.3">
      <c r="B21" s="6"/>
      <c r="C21" s="39"/>
      <c r="D21" s="40"/>
      <c r="E21" s="39"/>
      <c r="F21" s="40"/>
      <c r="G21" s="39"/>
      <c r="H21" s="40"/>
      <c r="I21" s="64"/>
      <c r="J21" s="65"/>
      <c r="K21" s="13"/>
      <c r="L21" s="19"/>
      <c r="M21" s="33"/>
      <c r="N21" s="34"/>
    </row>
    <row r="22" spans="2:14" ht="18" customHeight="1" x14ac:dyDescent="0.3">
      <c r="B22" s="8"/>
      <c r="C22" s="41"/>
      <c r="D22" s="42"/>
      <c r="E22" s="41"/>
      <c r="F22" s="42"/>
      <c r="G22" s="41"/>
      <c r="H22" s="42"/>
      <c r="I22" s="41"/>
      <c r="J22" s="59"/>
      <c r="K22" s="43"/>
      <c r="L22" s="16"/>
      <c r="M22" s="35"/>
      <c r="N22" s="36"/>
    </row>
    <row r="23" spans="2:14" ht="18" customHeight="1" x14ac:dyDescent="0.3">
      <c r="B23" s="6"/>
      <c r="C23" s="39"/>
      <c r="D23" s="40"/>
      <c r="E23" s="39"/>
      <c r="F23" s="40"/>
      <c r="G23" s="39"/>
      <c r="H23" s="40"/>
      <c r="I23" s="60"/>
      <c r="J23" s="61"/>
      <c r="K23" s="44"/>
      <c r="L23" s="17"/>
      <c r="M23" s="31"/>
      <c r="N23" s="32"/>
    </row>
    <row r="24" spans="2:14" ht="18" customHeight="1" x14ac:dyDescent="0.3">
      <c r="B24" s="8"/>
      <c r="C24" s="41"/>
      <c r="D24" s="42"/>
      <c r="E24" s="41"/>
      <c r="F24" s="42"/>
      <c r="G24" s="41"/>
      <c r="H24" s="42"/>
      <c r="I24" s="41"/>
      <c r="J24" s="59"/>
      <c r="K24" s="44"/>
      <c r="L24" s="17"/>
      <c r="M24" s="31"/>
      <c r="N24" s="32"/>
    </row>
    <row r="25" spans="2:14" ht="18" customHeight="1" x14ac:dyDescent="0.3">
      <c r="B25" s="6"/>
      <c r="C25" s="39"/>
      <c r="D25" s="40"/>
      <c r="E25" s="39"/>
      <c r="F25" s="40"/>
      <c r="G25" s="39"/>
      <c r="H25" s="40"/>
      <c r="I25" s="60"/>
      <c r="J25" s="61"/>
      <c r="K25" s="44"/>
      <c r="L25" s="17"/>
      <c r="M25" s="31"/>
      <c r="N25" s="32"/>
    </row>
    <row r="26" spans="2:14" ht="18" customHeight="1" x14ac:dyDescent="0.3">
      <c r="B26" s="8"/>
      <c r="C26" s="41"/>
      <c r="D26" s="42"/>
      <c r="E26" s="41"/>
      <c r="F26" s="42"/>
      <c r="G26" s="41"/>
      <c r="H26" s="42"/>
      <c r="I26" s="41"/>
      <c r="J26" s="59"/>
      <c r="K26" s="11"/>
      <c r="L26" s="17"/>
      <c r="M26" s="31"/>
      <c r="N26" s="32"/>
    </row>
    <row r="27" spans="2:14" ht="18" customHeight="1" x14ac:dyDescent="0.3">
      <c r="B27" s="6"/>
      <c r="C27" s="39"/>
      <c r="D27" s="40"/>
      <c r="E27" s="39"/>
      <c r="F27" s="40"/>
      <c r="G27" s="39"/>
      <c r="H27" s="40"/>
      <c r="I27" s="60"/>
      <c r="J27" s="61"/>
      <c r="K27" s="13"/>
      <c r="L27" s="19"/>
      <c r="M27" s="33"/>
      <c r="N27" s="34"/>
    </row>
    <row r="28" spans="2:14" ht="18" customHeight="1" x14ac:dyDescent="0.3">
      <c r="B28" s="8"/>
      <c r="C28" s="41"/>
      <c r="D28" s="42"/>
      <c r="E28" s="41"/>
      <c r="F28" s="42"/>
      <c r="G28" s="41"/>
      <c r="H28" s="42"/>
      <c r="I28" s="41"/>
      <c r="J28" s="59"/>
      <c r="K28" s="43"/>
      <c r="L28" s="16"/>
      <c r="M28" s="35"/>
      <c r="N28" s="36"/>
    </row>
    <row r="29" spans="2:14" ht="18" customHeight="1" x14ac:dyDescent="0.3">
      <c r="B29" s="6"/>
      <c r="C29" s="39"/>
      <c r="D29" s="40"/>
      <c r="E29" s="39"/>
      <c r="F29" s="40"/>
      <c r="G29" s="39"/>
      <c r="H29" s="40"/>
      <c r="I29" s="39"/>
      <c r="J29" s="67"/>
      <c r="K29" s="44"/>
      <c r="L29" s="17"/>
      <c r="M29" s="31"/>
      <c r="N29" s="32"/>
    </row>
    <row r="30" spans="2:14" ht="18" customHeight="1" x14ac:dyDescent="0.3">
      <c r="B30" s="8"/>
      <c r="C30" s="41"/>
      <c r="D30" s="42"/>
      <c r="E30" s="41"/>
      <c r="F30" s="42"/>
      <c r="G30" s="41"/>
      <c r="H30" s="42"/>
      <c r="I30" s="68"/>
      <c r="J30" s="69"/>
      <c r="K30" s="44"/>
      <c r="L30" s="17"/>
      <c r="M30" s="31"/>
      <c r="N30" s="32"/>
    </row>
    <row r="31" spans="2:14" ht="18" customHeight="1" x14ac:dyDescent="0.3">
      <c r="B31" s="6"/>
      <c r="C31" s="39"/>
      <c r="D31" s="40"/>
      <c r="E31" s="39"/>
      <c r="F31" s="40"/>
      <c r="G31" s="39"/>
      <c r="H31" s="40"/>
      <c r="I31" s="39"/>
      <c r="J31" s="67"/>
      <c r="K31" s="14"/>
      <c r="L31" s="17"/>
      <c r="M31" s="31"/>
      <c r="N31" s="32"/>
    </row>
    <row r="32" spans="2:14" ht="18" customHeight="1" x14ac:dyDescent="0.3">
      <c r="B32" s="8"/>
      <c r="C32" s="41"/>
      <c r="D32" s="42"/>
      <c r="E32" s="41"/>
      <c r="F32" s="42"/>
      <c r="G32" s="41"/>
      <c r="H32" s="42"/>
      <c r="I32" s="62"/>
      <c r="J32" s="63"/>
      <c r="K32" s="14"/>
      <c r="L32" s="17"/>
      <c r="M32" s="31"/>
      <c r="N32" s="32"/>
    </row>
    <row r="33" spans="2:14" ht="18" customHeight="1" x14ac:dyDescent="0.35">
      <c r="B33" s="7"/>
      <c r="C33" s="55"/>
      <c r="D33" s="56"/>
      <c r="E33" s="55"/>
      <c r="F33" s="56"/>
      <c r="G33" s="55"/>
      <c r="H33" s="56"/>
      <c r="I33" s="70"/>
      <c r="J33" s="71"/>
      <c r="K33" s="15"/>
      <c r="L33" s="20"/>
      <c r="M33" s="77"/>
      <c r="N33" s="78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4:D24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M6:N6"/>
    <mergeCell ref="M7:N7"/>
    <mergeCell ref="M8:N8"/>
    <mergeCell ref="M9:N9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</mergeCells>
  <conditionalFormatting sqref="C4:H4">
    <cfRule type="expression" dxfId="3" priority="3" stopIfTrue="1">
      <formula>DAY(C4)&gt;8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I9">
    <cfRule type="expression" dxfId="1" priority="4">
      <formula>VLOOKUP(DAY(C4),КоличествоДней,1,FALSE)=DAY(C4)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A1:O33"/>
  <sheetViews>
    <sheetView showGridLines="0" zoomScaleNormal="100" zoomScalePageLayoutView="84" workbookViewId="0">
      <selection activeCell="N2" sqref="N2:N3"/>
    </sheetView>
  </sheetViews>
  <sheetFormatPr defaultRowHeight="16.5" customHeight="1" x14ac:dyDescent="0.25"/>
  <cols>
    <col min="1" max="1" width="2.26953125" style="1" customWidth="1"/>
    <col min="2" max="2" width="17.54296875" style="1" customWidth="1"/>
    <col min="3" max="10" width="9.1796875" style="1" customWidth="1"/>
    <col min="11" max="11" width="7.26953125" style="1" customWidth="1"/>
    <col min="12" max="12" width="3.81640625" customWidth="1"/>
    <col min="13" max="13" width="51.453125" style="1" customWidth="1"/>
    <col min="14" max="14" width="10.7265625" style="1" customWidth="1"/>
    <col min="15" max="15" width="2.26953125" customWidth="1"/>
    <col min="16" max="16384" width="8.7265625" style="1"/>
  </cols>
  <sheetData>
    <row r="1" spans="1:14" ht="11.25" customHeight="1" x14ac:dyDescent="0.25"/>
    <row r="2" spans="1:14" ht="18" customHeight="1" x14ac:dyDescent="0.25">
      <c r="A2" s="4"/>
      <c r="B2" s="30"/>
      <c r="C2" s="21"/>
      <c r="D2" s="21"/>
      <c r="E2" s="21"/>
      <c r="F2" s="21"/>
      <c r="G2" s="21"/>
      <c r="H2" s="21"/>
      <c r="I2" s="21"/>
      <c r="J2" s="22"/>
      <c r="K2" s="48" t="s">
        <v>20</v>
      </c>
      <c r="L2" s="49">
        <v>2013</v>
      </c>
      <c r="M2" s="49"/>
      <c r="N2" s="79">
        <f>КалендарныйГод</f>
        <v>2020</v>
      </c>
    </row>
    <row r="3" spans="1:14" ht="21" customHeight="1" x14ac:dyDescent="0.25">
      <c r="A3" s="4"/>
      <c r="B3" s="72" t="s">
        <v>11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19</v>
      </c>
      <c r="J3" s="5"/>
      <c r="K3" s="50"/>
      <c r="L3" s="51"/>
      <c r="M3" s="51"/>
      <c r="N3" s="80"/>
    </row>
    <row r="4" spans="1:14" ht="18" customHeight="1" x14ac:dyDescent="0.3">
      <c r="A4" s="4"/>
      <c r="B4" s="72"/>
      <c r="C4" s="10">
        <f>IF(DAY(ФевВс1)=1,ФевВс1-6,ФевВс1+1)</f>
        <v>43857</v>
      </c>
      <c r="D4" s="10">
        <f>IF(DAY(ФевВс1)=1,ФевВс1-5,ФевВс1+2)</f>
        <v>43858</v>
      </c>
      <c r="E4" s="10">
        <f>IF(DAY(ФевВс1)=1,ФевВс1-4,ФевВс1+3)</f>
        <v>43859</v>
      </c>
      <c r="F4" s="10">
        <f>IF(DAY(ФевВс1)=1,ФевВс1-3,ФевВс1+4)</f>
        <v>43860</v>
      </c>
      <c r="G4" s="10">
        <f>IF(DAY(ФевВс1)=1,ФевВс1-2,ФевВс1+5)</f>
        <v>43861</v>
      </c>
      <c r="H4" s="10">
        <f>IF(DAY(ФевВс1)=1,ФевВс1-1,ФевВс1+6)</f>
        <v>43862</v>
      </c>
      <c r="I4" s="10">
        <f>IF(DAY(ФевВс1)=1,ФевВс1,ФевВс1+7)</f>
        <v>43863</v>
      </c>
      <c r="J4" s="5"/>
      <c r="K4" s="52"/>
      <c r="L4" s="16"/>
      <c r="M4" s="53"/>
      <c r="N4" s="54"/>
    </row>
    <row r="5" spans="1:14" ht="18" customHeight="1" x14ac:dyDescent="0.3">
      <c r="A5" s="4"/>
      <c r="B5" s="28"/>
      <c r="C5" s="10">
        <f>IF(DAY(ФевВс1)=1,ФевВс1+1,ФевВс1+8)</f>
        <v>43864</v>
      </c>
      <c r="D5" s="10">
        <f>IF(DAY(ФевВс1)=1,ФевВс1+2,ФевВс1+9)</f>
        <v>43865</v>
      </c>
      <c r="E5" s="10">
        <f>IF(DAY(ФевВс1)=1,ФевВс1+3,ФевВс1+10)</f>
        <v>43866</v>
      </c>
      <c r="F5" s="10">
        <f>IF(DAY(ФевВс1)=1,ФевВс1+4,ФевВс1+11)</f>
        <v>43867</v>
      </c>
      <c r="G5" s="10">
        <f>IF(DAY(ФевВс1)=1,ФевВс1+5,ФевВс1+12)</f>
        <v>43868</v>
      </c>
      <c r="H5" s="10">
        <f>IF(DAY(ФевВс1)=1,ФевВс1+6,ФевВс1+13)</f>
        <v>43869</v>
      </c>
      <c r="I5" s="10">
        <f>IF(DAY(ФевВс1)=1,ФевВс1+7,ФевВс1+14)</f>
        <v>43870</v>
      </c>
      <c r="J5" s="5"/>
      <c r="K5" s="44"/>
      <c r="L5" s="17"/>
      <c r="M5" s="31"/>
      <c r="N5" s="32"/>
    </row>
    <row r="6" spans="1:14" ht="18" customHeight="1" x14ac:dyDescent="0.3">
      <c r="A6" s="4"/>
      <c r="B6" s="28"/>
      <c r="C6" s="10">
        <f>IF(DAY(ФевВс1)=1,ФевВс1+8,ФевВс1+15)</f>
        <v>43871</v>
      </c>
      <c r="D6" s="10">
        <f>IF(DAY(ФевВс1)=1,ФевВс1+9,ФевВс1+16)</f>
        <v>43872</v>
      </c>
      <c r="E6" s="10">
        <f>IF(DAY(ФевВс1)=1,ФевВс1+10,ФевВс1+17)</f>
        <v>43873</v>
      </c>
      <c r="F6" s="10">
        <f>IF(DAY(ФевВс1)=1,ФевВс1+11,ФевВс1+18)</f>
        <v>43874</v>
      </c>
      <c r="G6" s="10">
        <f>IF(DAY(ФевВс1)=1,ФевВс1+12,ФевВс1+19)</f>
        <v>43875</v>
      </c>
      <c r="H6" s="10">
        <f>IF(DAY(ФевВс1)=1,ФевВс1+13,ФевВс1+20)</f>
        <v>43876</v>
      </c>
      <c r="I6" s="10">
        <f>IF(DAY(ФевВс1)=1,ФевВс1+14,ФевВс1+21)</f>
        <v>43877</v>
      </c>
      <c r="J6" s="5"/>
      <c r="K6" s="44"/>
      <c r="L6" s="17"/>
      <c r="M6" s="31"/>
      <c r="N6" s="32"/>
    </row>
    <row r="7" spans="1:14" ht="18" customHeight="1" x14ac:dyDescent="0.3">
      <c r="A7" s="4"/>
      <c r="B7" s="28"/>
      <c r="C7" s="10">
        <f>IF(DAY(ФевВс1)=1,ФевВс1+15,ФевВс1+22)</f>
        <v>43878</v>
      </c>
      <c r="D7" s="10">
        <f>IF(DAY(ФевВс1)=1,ФевВс1+16,ФевВс1+23)</f>
        <v>43879</v>
      </c>
      <c r="E7" s="10">
        <f>IF(DAY(ФевВс1)=1,ФевВс1+17,ФевВс1+24)</f>
        <v>43880</v>
      </c>
      <c r="F7" s="10">
        <f>IF(DAY(ФевВс1)=1,ФевВс1+18,ФевВс1+25)</f>
        <v>43881</v>
      </c>
      <c r="G7" s="10">
        <f>IF(DAY(ФевВс1)=1,ФевВс1+19,ФевВс1+26)</f>
        <v>43882</v>
      </c>
      <c r="H7" s="10">
        <f>IF(DAY(ФевВс1)=1,ФевВс1+20,ФевВс1+27)</f>
        <v>43883</v>
      </c>
      <c r="I7" s="10">
        <f>IF(DAY(ФевВс1)=1,ФевВс1+21,ФевВс1+28)</f>
        <v>43884</v>
      </c>
      <c r="J7" s="5"/>
      <c r="K7" s="11"/>
      <c r="L7" s="17"/>
      <c r="M7" s="31"/>
      <c r="N7" s="32"/>
    </row>
    <row r="8" spans="1:14" ht="18.75" customHeight="1" x14ac:dyDescent="0.3">
      <c r="A8" s="4"/>
      <c r="B8" s="28"/>
      <c r="C8" s="10">
        <f>IF(DAY(ФевВс1)=1,ФевВс1+22,ФевВс1+29)</f>
        <v>43885</v>
      </c>
      <c r="D8" s="10">
        <f>IF(DAY(ФевВс1)=1,ФевВс1+23,ФевВс1+30)</f>
        <v>43886</v>
      </c>
      <c r="E8" s="10">
        <f>IF(DAY(ФевВс1)=1,ФевВс1+24,ФевВс1+31)</f>
        <v>43887</v>
      </c>
      <c r="F8" s="10">
        <f>IF(DAY(ФевВс1)=1,ФевВс1+25,ФевВс1+32)</f>
        <v>43888</v>
      </c>
      <c r="G8" s="10">
        <f>IF(DAY(ФевВс1)=1,ФевВс1+26,ФевВс1+33)</f>
        <v>43889</v>
      </c>
      <c r="H8" s="10">
        <f>IF(DAY(ФевВс1)=1,ФевВс1+27,ФевВс1+34)</f>
        <v>43890</v>
      </c>
      <c r="I8" s="10">
        <f>IF(DAY(ФевВс1)=1,ФевВс1+28,ФевВс1+35)</f>
        <v>43891</v>
      </c>
      <c r="J8" s="5"/>
      <c r="K8" s="11"/>
      <c r="L8" s="17"/>
      <c r="M8" s="31"/>
      <c r="N8" s="32"/>
    </row>
    <row r="9" spans="1:14" ht="18" customHeight="1" x14ac:dyDescent="0.3">
      <c r="A9" s="4"/>
      <c r="B9" s="28"/>
      <c r="C9" s="10">
        <f>IF(DAY(ФевВс1)=1,ФевВс1+29,ФевВс1+36)</f>
        <v>43892</v>
      </c>
      <c r="D9" s="10">
        <f>IF(DAY(ФевВс1)=1,ФевВс1+30,ФевВс1+37)</f>
        <v>43893</v>
      </c>
      <c r="E9" s="10">
        <f>IF(DAY(ФевВс1)=1,ФевВс1+31,ФевВс1+38)</f>
        <v>43894</v>
      </c>
      <c r="F9" s="10">
        <f>IF(DAY(ФевВс1)=1,ФевВс1+32,ФевВс1+39)</f>
        <v>43895</v>
      </c>
      <c r="G9" s="10">
        <f>IF(DAY(ФевВс1)=1,ФевВс1+33,ФевВс1+40)</f>
        <v>43896</v>
      </c>
      <c r="H9" s="10">
        <f>IF(DAY(ФевВс1)=1,ФевВс1+34,ФевВс1+41)</f>
        <v>43897</v>
      </c>
      <c r="I9" s="10">
        <f>IF(DAY(ФевВс1)=1,ФевВс1+35,ФевВс1+42)</f>
        <v>43898</v>
      </c>
      <c r="J9" s="5"/>
      <c r="K9" s="12"/>
      <c r="L9" s="18"/>
      <c r="M9" s="33"/>
      <c r="N9" s="34"/>
    </row>
    <row r="10" spans="1:14" ht="18" customHeight="1" x14ac:dyDescent="0.3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43"/>
      <c r="L10" s="16"/>
      <c r="M10" s="35"/>
      <c r="N10" s="36"/>
    </row>
    <row r="11" spans="1:14" ht="18" customHeight="1" x14ac:dyDescent="0.3">
      <c r="A11" s="4"/>
      <c r="B11" s="74" t="s">
        <v>1</v>
      </c>
      <c r="C11" s="75"/>
      <c r="D11" s="75"/>
      <c r="E11" s="75"/>
      <c r="F11" s="75"/>
      <c r="G11" s="75"/>
      <c r="H11" s="75"/>
      <c r="I11" s="75"/>
      <c r="J11" s="76"/>
      <c r="K11" s="44"/>
      <c r="L11" s="17"/>
      <c r="M11" s="31"/>
      <c r="N11" s="32"/>
    </row>
    <row r="12" spans="1:14" ht="18" customHeight="1" x14ac:dyDescent="0.3">
      <c r="A12" s="4"/>
      <c r="B12" s="74"/>
      <c r="C12" s="75"/>
      <c r="D12" s="75"/>
      <c r="E12" s="75"/>
      <c r="F12" s="75"/>
      <c r="G12" s="75"/>
      <c r="H12" s="75"/>
      <c r="I12" s="75"/>
      <c r="J12" s="76"/>
      <c r="K12" s="44"/>
      <c r="L12" s="17"/>
      <c r="M12" s="31"/>
      <c r="N12" s="32"/>
    </row>
    <row r="13" spans="1:14" ht="18" customHeight="1" x14ac:dyDescent="0.3">
      <c r="B13" s="3" t="s">
        <v>2</v>
      </c>
      <c r="C13" s="45" t="s">
        <v>3</v>
      </c>
      <c r="D13" s="47"/>
      <c r="E13" s="45" t="s">
        <v>4</v>
      </c>
      <c r="F13" s="47"/>
      <c r="G13" s="45" t="s">
        <v>5</v>
      </c>
      <c r="H13" s="47"/>
      <c r="I13" s="45" t="s">
        <v>6</v>
      </c>
      <c r="J13" s="46"/>
      <c r="K13" s="11"/>
      <c r="L13" s="17"/>
      <c r="M13" s="31"/>
      <c r="N13" s="32"/>
    </row>
    <row r="14" spans="1:14" ht="18" customHeight="1" x14ac:dyDescent="0.3">
      <c r="B14" s="8"/>
      <c r="C14" s="41"/>
      <c r="D14" s="42"/>
      <c r="E14" s="41"/>
      <c r="F14" s="42"/>
      <c r="G14" s="41"/>
      <c r="H14" s="42"/>
      <c r="I14" s="41"/>
      <c r="J14" s="59"/>
      <c r="K14" s="11"/>
      <c r="L14" s="17"/>
      <c r="M14" s="31"/>
      <c r="N14" s="32"/>
    </row>
    <row r="15" spans="1:14" ht="18" customHeight="1" x14ac:dyDescent="0.3">
      <c r="B15" s="6"/>
      <c r="C15" s="39"/>
      <c r="D15" s="40"/>
      <c r="E15" s="39"/>
      <c r="F15" s="40"/>
      <c r="G15" s="39"/>
      <c r="H15" s="40"/>
      <c r="I15" s="60"/>
      <c r="J15" s="61"/>
      <c r="K15" s="13"/>
      <c r="L15" s="19"/>
      <c r="M15" s="33"/>
      <c r="N15" s="34"/>
    </row>
    <row r="16" spans="1:14" ht="18" customHeight="1" x14ac:dyDescent="0.3">
      <c r="B16" s="8"/>
      <c r="C16" s="41"/>
      <c r="D16" s="42"/>
      <c r="E16" s="41"/>
      <c r="F16" s="42"/>
      <c r="G16" s="41"/>
      <c r="H16" s="42"/>
      <c r="I16" s="62"/>
      <c r="J16" s="63"/>
      <c r="K16" s="43"/>
      <c r="L16" s="16"/>
      <c r="M16" s="35"/>
      <c r="N16" s="36"/>
    </row>
    <row r="17" spans="2:14" ht="18" customHeight="1" x14ac:dyDescent="0.3">
      <c r="B17" s="6"/>
      <c r="C17" s="39"/>
      <c r="D17" s="40"/>
      <c r="E17" s="39"/>
      <c r="F17" s="40"/>
      <c r="G17" s="39"/>
      <c r="H17" s="40"/>
      <c r="I17" s="60"/>
      <c r="J17" s="61"/>
      <c r="K17" s="44"/>
      <c r="L17" s="17"/>
      <c r="M17" s="31"/>
      <c r="N17" s="32"/>
    </row>
    <row r="18" spans="2:14" ht="18" customHeight="1" x14ac:dyDescent="0.3">
      <c r="B18" s="9"/>
      <c r="C18" s="57"/>
      <c r="D18" s="58"/>
      <c r="E18" s="57"/>
      <c r="F18" s="58"/>
      <c r="G18" s="57"/>
      <c r="H18" s="58"/>
      <c r="I18" s="57"/>
      <c r="J18" s="66"/>
      <c r="K18" s="44"/>
      <c r="L18" s="17"/>
      <c r="M18" s="31"/>
      <c r="N18" s="32"/>
    </row>
    <row r="19" spans="2:14" ht="18" customHeight="1" x14ac:dyDescent="0.3">
      <c r="B19" s="6"/>
      <c r="C19" s="39"/>
      <c r="D19" s="40"/>
      <c r="E19" s="39"/>
      <c r="F19" s="40"/>
      <c r="G19" s="39"/>
      <c r="H19" s="40"/>
      <c r="I19" s="60"/>
      <c r="J19" s="61"/>
      <c r="K19" s="11"/>
      <c r="L19" s="17"/>
      <c r="M19" s="31"/>
      <c r="N19" s="32"/>
    </row>
    <row r="20" spans="2:14" ht="18" customHeight="1" x14ac:dyDescent="0.3">
      <c r="B20" s="8"/>
      <c r="C20" s="41"/>
      <c r="D20" s="42"/>
      <c r="E20" s="41"/>
      <c r="F20" s="42"/>
      <c r="G20" s="41"/>
      <c r="H20" s="42"/>
      <c r="I20" s="41"/>
      <c r="J20" s="59"/>
      <c r="K20" s="11"/>
      <c r="L20" s="17"/>
      <c r="M20" s="31"/>
      <c r="N20" s="32"/>
    </row>
    <row r="21" spans="2:14" ht="18" customHeight="1" x14ac:dyDescent="0.3">
      <c r="B21" s="6"/>
      <c r="C21" s="39"/>
      <c r="D21" s="40"/>
      <c r="E21" s="39"/>
      <c r="F21" s="40"/>
      <c r="G21" s="39"/>
      <c r="H21" s="40"/>
      <c r="I21" s="64"/>
      <c r="J21" s="65"/>
      <c r="K21" s="13"/>
      <c r="L21" s="19"/>
      <c r="M21" s="33"/>
      <c r="N21" s="34"/>
    </row>
    <row r="22" spans="2:14" ht="18" customHeight="1" x14ac:dyDescent="0.3">
      <c r="B22" s="8"/>
      <c r="C22" s="41"/>
      <c r="D22" s="42"/>
      <c r="E22" s="41"/>
      <c r="F22" s="42"/>
      <c r="G22" s="41"/>
      <c r="H22" s="42"/>
      <c r="I22" s="41"/>
      <c r="J22" s="59"/>
      <c r="K22" s="43"/>
      <c r="L22" s="16"/>
      <c r="M22" s="35"/>
      <c r="N22" s="36"/>
    </row>
    <row r="23" spans="2:14" ht="18" customHeight="1" x14ac:dyDescent="0.3">
      <c r="B23" s="6"/>
      <c r="C23" s="39"/>
      <c r="D23" s="40"/>
      <c r="E23" s="39"/>
      <c r="F23" s="40"/>
      <c r="G23" s="39"/>
      <c r="H23" s="40"/>
      <c r="I23" s="60"/>
      <c r="J23" s="61"/>
      <c r="K23" s="44"/>
      <c r="L23" s="17"/>
      <c r="M23" s="31"/>
      <c r="N23" s="32"/>
    </row>
    <row r="24" spans="2:14" ht="18" customHeight="1" x14ac:dyDescent="0.3">
      <c r="B24" s="8"/>
      <c r="C24" s="41"/>
      <c r="D24" s="42"/>
      <c r="E24" s="41"/>
      <c r="F24" s="42"/>
      <c r="G24" s="41"/>
      <c r="H24" s="42"/>
      <c r="I24" s="41"/>
      <c r="J24" s="59"/>
      <c r="K24" s="44"/>
      <c r="L24" s="17"/>
      <c r="M24" s="31"/>
      <c r="N24" s="32"/>
    </row>
    <row r="25" spans="2:14" ht="18" customHeight="1" x14ac:dyDescent="0.3">
      <c r="B25" s="6"/>
      <c r="C25" s="39"/>
      <c r="D25" s="40"/>
      <c r="E25" s="39"/>
      <c r="F25" s="40"/>
      <c r="G25" s="39"/>
      <c r="H25" s="40"/>
      <c r="I25" s="60"/>
      <c r="J25" s="61"/>
      <c r="K25" s="44"/>
      <c r="L25" s="17"/>
      <c r="M25" s="31"/>
      <c r="N25" s="32"/>
    </row>
    <row r="26" spans="2:14" ht="18" customHeight="1" x14ac:dyDescent="0.3">
      <c r="B26" s="8"/>
      <c r="C26" s="41"/>
      <c r="D26" s="42"/>
      <c r="E26" s="41"/>
      <c r="F26" s="42"/>
      <c r="G26" s="41"/>
      <c r="H26" s="42"/>
      <c r="I26" s="41"/>
      <c r="J26" s="59"/>
      <c r="K26" s="11"/>
      <c r="L26" s="17"/>
      <c r="M26" s="31"/>
      <c r="N26" s="32"/>
    </row>
    <row r="27" spans="2:14" ht="18" customHeight="1" x14ac:dyDescent="0.3">
      <c r="B27" s="6"/>
      <c r="C27" s="39"/>
      <c r="D27" s="40"/>
      <c r="E27" s="39"/>
      <c r="F27" s="40"/>
      <c r="G27" s="39"/>
      <c r="H27" s="40"/>
      <c r="I27" s="60"/>
      <c r="J27" s="61"/>
      <c r="K27" s="13"/>
      <c r="L27" s="19"/>
      <c r="M27" s="33"/>
      <c r="N27" s="34"/>
    </row>
    <row r="28" spans="2:14" ht="18" customHeight="1" x14ac:dyDescent="0.3">
      <c r="B28" s="8"/>
      <c r="C28" s="41"/>
      <c r="D28" s="42"/>
      <c r="E28" s="41"/>
      <c r="F28" s="42"/>
      <c r="G28" s="41"/>
      <c r="H28" s="42"/>
      <c r="I28" s="41"/>
      <c r="J28" s="59"/>
      <c r="K28" s="43"/>
      <c r="L28" s="16"/>
      <c r="M28" s="35"/>
      <c r="N28" s="36"/>
    </row>
    <row r="29" spans="2:14" ht="18" customHeight="1" x14ac:dyDescent="0.3">
      <c r="B29" s="6"/>
      <c r="C29" s="39"/>
      <c r="D29" s="40"/>
      <c r="E29" s="39"/>
      <c r="F29" s="40"/>
      <c r="G29" s="39"/>
      <c r="H29" s="40"/>
      <c r="I29" s="39"/>
      <c r="J29" s="67"/>
      <c r="K29" s="44"/>
      <c r="L29" s="17"/>
      <c r="M29" s="31"/>
      <c r="N29" s="32"/>
    </row>
    <row r="30" spans="2:14" ht="18" customHeight="1" x14ac:dyDescent="0.3">
      <c r="B30" s="8"/>
      <c r="C30" s="41"/>
      <c r="D30" s="42"/>
      <c r="E30" s="41"/>
      <c r="F30" s="42"/>
      <c r="G30" s="41"/>
      <c r="H30" s="42"/>
      <c r="I30" s="68"/>
      <c r="J30" s="69"/>
      <c r="K30" s="44"/>
      <c r="L30" s="17"/>
      <c r="M30" s="31"/>
      <c r="N30" s="32"/>
    </row>
    <row r="31" spans="2:14" ht="18" customHeight="1" x14ac:dyDescent="0.3">
      <c r="B31" s="6"/>
      <c r="C31" s="39"/>
      <c r="D31" s="40"/>
      <c r="E31" s="39"/>
      <c r="F31" s="40"/>
      <c r="G31" s="39"/>
      <c r="H31" s="40"/>
      <c r="I31" s="39"/>
      <c r="J31" s="67"/>
      <c r="K31" s="14"/>
      <c r="L31" s="17"/>
      <c r="M31" s="31"/>
      <c r="N31" s="32"/>
    </row>
    <row r="32" spans="2:14" ht="18" customHeight="1" x14ac:dyDescent="0.3">
      <c r="B32" s="8"/>
      <c r="C32" s="41"/>
      <c r="D32" s="42"/>
      <c r="E32" s="41"/>
      <c r="F32" s="42"/>
      <c r="G32" s="41"/>
      <c r="H32" s="42"/>
      <c r="I32" s="62"/>
      <c r="J32" s="63"/>
      <c r="K32" s="14"/>
      <c r="L32" s="17"/>
      <c r="M32" s="31"/>
      <c r="N32" s="32"/>
    </row>
    <row r="33" spans="2:14" ht="18" customHeight="1" x14ac:dyDescent="0.35">
      <c r="B33" s="7"/>
      <c r="C33" s="55"/>
      <c r="D33" s="56"/>
      <c r="E33" s="55"/>
      <c r="F33" s="56"/>
      <c r="G33" s="55"/>
      <c r="H33" s="56"/>
      <c r="I33" s="70"/>
      <c r="J33" s="71"/>
      <c r="K33" s="15"/>
      <c r="L33" s="20"/>
      <c r="M33" s="77"/>
      <c r="N33" s="78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4:D24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M6:N6"/>
    <mergeCell ref="M7:N7"/>
    <mergeCell ref="M8:N8"/>
    <mergeCell ref="M9:N9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</mergeCells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1" priority="4">
      <formula>VLOOKUP(DAY(C4),КоличествоДней,1,FALSE)=DAY(C4)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fitToPage="1"/>
  </sheetPr>
  <dimension ref="A1:O33"/>
  <sheetViews>
    <sheetView showGridLines="0" zoomScaleNormal="100" zoomScalePageLayoutView="84" workbookViewId="0">
      <selection activeCell="N2" sqref="N2:N3"/>
    </sheetView>
  </sheetViews>
  <sheetFormatPr defaultRowHeight="16.5" customHeight="1" x14ac:dyDescent="0.25"/>
  <cols>
    <col min="1" max="1" width="2.26953125" style="1" customWidth="1"/>
    <col min="2" max="2" width="17.54296875" style="1" customWidth="1"/>
    <col min="3" max="10" width="9.1796875" style="1" customWidth="1"/>
    <col min="11" max="11" width="7.26953125" style="1" customWidth="1"/>
    <col min="12" max="12" width="3.81640625" customWidth="1"/>
    <col min="13" max="13" width="51.453125" style="1" customWidth="1"/>
    <col min="14" max="14" width="10.7265625" style="1" customWidth="1"/>
    <col min="15" max="15" width="2.26953125" customWidth="1"/>
    <col min="16" max="16384" width="8.7265625" style="1"/>
  </cols>
  <sheetData>
    <row r="1" spans="1:14" ht="11.25" customHeight="1" x14ac:dyDescent="0.25"/>
    <row r="2" spans="1:14" ht="18" customHeight="1" x14ac:dyDescent="0.25">
      <c r="A2" s="4"/>
      <c r="B2" s="30"/>
      <c r="C2" s="21"/>
      <c r="D2" s="21"/>
      <c r="E2" s="21"/>
      <c r="F2" s="21"/>
      <c r="G2" s="21"/>
      <c r="H2" s="21"/>
      <c r="I2" s="21"/>
      <c r="J2" s="22"/>
      <c r="K2" s="48" t="s">
        <v>20</v>
      </c>
      <c r="L2" s="49">
        <v>2013</v>
      </c>
      <c r="M2" s="49"/>
      <c r="N2" s="79">
        <f>КалендарныйГод</f>
        <v>2020</v>
      </c>
    </row>
    <row r="3" spans="1:14" ht="21" customHeight="1" x14ac:dyDescent="0.25">
      <c r="A3" s="4"/>
      <c r="B3" s="72" t="s">
        <v>12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19</v>
      </c>
      <c r="J3" s="5"/>
      <c r="K3" s="50"/>
      <c r="L3" s="51"/>
      <c r="M3" s="51"/>
      <c r="N3" s="80"/>
    </row>
    <row r="4" spans="1:14" ht="18" customHeight="1" x14ac:dyDescent="0.3">
      <c r="A4" s="4"/>
      <c r="B4" s="72"/>
      <c r="C4" s="10">
        <f>IF(DAY(МарВс1)=1,МарВс1-6,МарВс1+1)</f>
        <v>43885</v>
      </c>
      <c r="D4" s="10">
        <f>IF(DAY(МарВс1)=1,МарВс1-5,МарВс1+2)</f>
        <v>43886</v>
      </c>
      <c r="E4" s="10">
        <f>IF(DAY(МарВс1)=1,МарВс1-4,МарВс1+3)</f>
        <v>43887</v>
      </c>
      <c r="F4" s="10">
        <f>IF(DAY(МарВс1)=1,МарВс1-3,МарВс1+4)</f>
        <v>43888</v>
      </c>
      <c r="G4" s="10">
        <f>IF(DAY(МарВс1)=1,МарВс1-2,МарВс1+5)</f>
        <v>43889</v>
      </c>
      <c r="H4" s="10">
        <f>IF(DAY(МарВс1)=1,МарВс1-1,МарВс1+6)</f>
        <v>43890</v>
      </c>
      <c r="I4" s="10">
        <f>IF(DAY(МарВс1)=1,МарВс1,МарВс1+7)</f>
        <v>43891</v>
      </c>
      <c r="J4" s="5"/>
      <c r="K4" s="52"/>
      <c r="L4" s="16"/>
      <c r="M4" s="53"/>
      <c r="N4" s="54"/>
    </row>
    <row r="5" spans="1:14" ht="18" customHeight="1" x14ac:dyDescent="0.3">
      <c r="A5" s="4"/>
      <c r="B5" s="28"/>
      <c r="C5" s="10">
        <f>IF(DAY(МарВс1)=1,МарВс1+1,МарВс1+8)</f>
        <v>43892</v>
      </c>
      <c r="D5" s="10">
        <f>IF(DAY(МарВс1)=1,МарВс1+2,МарВс1+9)</f>
        <v>43893</v>
      </c>
      <c r="E5" s="10">
        <f>IF(DAY(МарВс1)=1,МарВс1+3,МарВс1+10)</f>
        <v>43894</v>
      </c>
      <c r="F5" s="10">
        <f>IF(DAY(МарВс1)=1,МарВс1+4,МарВс1+11)</f>
        <v>43895</v>
      </c>
      <c r="G5" s="10">
        <f>IF(DAY(МарВс1)=1,МарВс1+5,МарВс1+12)</f>
        <v>43896</v>
      </c>
      <c r="H5" s="10">
        <f>IF(DAY(МарВс1)=1,МарВс1+6,МарВс1+13)</f>
        <v>43897</v>
      </c>
      <c r="I5" s="10">
        <f>IF(DAY(МарВс1)=1,МарВс1+7,МарВс1+14)</f>
        <v>43898</v>
      </c>
      <c r="J5" s="5"/>
      <c r="K5" s="44"/>
      <c r="L5" s="17"/>
      <c r="M5" s="31"/>
      <c r="N5" s="32"/>
    </row>
    <row r="6" spans="1:14" ht="18" customHeight="1" x14ac:dyDescent="0.3">
      <c r="A6" s="4"/>
      <c r="B6" s="28"/>
      <c r="C6" s="10">
        <f>IF(DAY(МарВс1)=1,МарВс1+8,МарВс1+15)</f>
        <v>43899</v>
      </c>
      <c r="D6" s="10">
        <f>IF(DAY(МарВс1)=1,МарВс1+9,МарВс1+16)</f>
        <v>43900</v>
      </c>
      <c r="E6" s="10">
        <f>IF(DAY(МарВс1)=1,МарВс1+10,МарВс1+17)</f>
        <v>43901</v>
      </c>
      <c r="F6" s="10">
        <f>IF(DAY(МарВс1)=1,МарВс1+11,МарВс1+18)</f>
        <v>43902</v>
      </c>
      <c r="G6" s="10">
        <f>IF(DAY(МарВс1)=1,МарВс1+12,МарВс1+19)</f>
        <v>43903</v>
      </c>
      <c r="H6" s="10">
        <f>IF(DAY(МарВс1)=1,МарВс1+13,МарВс1+20)</f>
        <v>43904</v>
      </c>
      <c r="I6" s="10">
        <f>IF(DAY(МарВс1)=1,МарВс1+14,МарВс1+21)</f>
        <v>43905</v>
      </c>
      <c r="J6" s="5"/>
      <c r="K6" s="44"/>
      <c r="L6" s="17"/>
      <c r="M6" s="31"/>
      <c r="N6" s="32"/>
    </row>
    <row r="7" spans="1:14" ht="18" customHeight="1" x14ac:dyDescent="0.3">
      <c r="A7" s="4"/>
      <c r="B7" s="28"/>
      <c r="C7" s="10">
        <f>IF(DAY(МарВс1)=1,МарВс1+15,МарВс1+22)</f>
        <v>43906</v>
      </c>
      <c r="D7" s="10">
        <f>IF(DAY(МарВс1)=1,МарВс1+16,МарВс1+23)</f>
        <v>43907</v>
      </c>
      <c r="E7" s="10">
        <f>IF(DAY(МарВс1)=1,МарВс1+17,МарВс1+24)</f>
        <v>43908</v>
      </c>
      <c r="F7" s="10">
        <f>IF(DAY(МарВс1)=1,МарВс1+18,МарВс1+25)</f>
        <v>43909</v>
      </c>
      <c r="G7" s="10">
        <f>IF(DAY(МарВс1)=1,МарВс1+19,МарВс1+26)</f>
        <v>43910</v>
      </c>
      <c r="H7" s="10">
        <f>IF(DAY(МарВс1)=1,МарВс1+20,МарВс1+27)</f>
        <v>43911</v>
      </c>
      <c r="I7" s="10">
        <f>IF(DAY(МарВс1)=1,МарВс1+21,МарВс1+28)</f>
        <v>43912</v>
      </c>
      <c r="J7" s="5"/>
      <c r="K7" s="11"/>
      <c r="L7" s="17"/>
      <c r="M7" s="31"/>
      <c r="N7" s="32"/>
    </row>
    <row r="8" spans="1:14" ht="18.75" customHeight="1" x14ac:dyDescent="0.3">
      <c r="A8" s="4"/>
      <c r="B8" s="28"/>
      <c r="C8" s="10">
        <f>IF(DAY(МарВс1)=1,МарВс1+22,МарВс1+29)</f>
        <v>43913</v>
      </c>
      <c r="D8" s="10">
        <f>IF(DAY(МарВс1)=1,МарВс1+23,МарВс1+30)</f>
        <v>43914</v>
      </c>
      <c r="E8" s="10">
        <f>IF(DAY(МарВс1)=1,МарВс1+24,МарВс1+31)</f>
        <v>43915</v>
      </c>
      <c r="F8" s="10">
        <f>IF(DAY(МарВс1)=1,МарВс1+25,МарВс1+32)</f>
        <v>43916</v>
      </c>
      <c r="G8" s="10">
        <f>IF(DAY(МарВс1)=1,МарВс1+26,МарВс1+33)</f>
        <v>43917</v>
      </c>
      <c r="H8" s="10">
        <f>IF(DAY(МарВс1)=1,МарВс1+27,МарВс1+34)</f>
        <v>43918</v>
      </c>
      <c r="I8" s="10">
        <f>IF(DAY(МарВс1)=1,МарВс1+28,МарВс1+35)</f>
        <v>43919</v>
      </c>
      <c r="J8" s="5"/>
      <c r="K8" s="11"/>
      <c r="L8" s="17"/>
      <c r="M8" s="31"/>
      <c r="N8" s="32"/>
    </row>
    <row r="9" spans="1:14" ht="18" customHeight="1" x14ac:dyDescent="0.3">
      <c r="A9" s="4"/>
      <c r="B9" s="28"/>
      <c r="C9" s="10">
        <f>IF(DAY(МарВс1)=1,МарВс1+29,МарВс1+36)</f>
        <v>43920</v>
      </c>
      <c r="D9" s="10">
        <f>IF(DAY(МарВс1)=1,МарВс1+30,МарВс1+37)</f>
        <v>43921</v>
      </c>
      <c r="E9" s="10">
        <f>IF(DAY(МарВс1)=1,МарВс1+31,МарВс1+38)</f>
        <v>43922</v>
      </c>
      <c r="F9" s="10">
        <f>IF(DAY(МарВс1)=1,МарВс1+32,МарВс1+39)</f>
        <v>43923</v>
      </c>
      <c r="G9" s="10">
        <f>IF(DAY(МарВс1)=1,МарВс1+33,МарВс1+40)</f>
        <v>43924</v>
      </c>
      <c r="H9" s="10">
        <f>IF(DAY(МарВс1)=1,МарВс1+34,МарВс1+41)</f>
        <v>43925</v>
      </c>
      <c r="I9" s="10">
        <f>IF(DAY(МарВс1)=1,МарВс1+35,МарВс1+42)</f>
        <v>43926</v>
      </c>
      <c r="J9" s="5"/>
      <c r="K9" s="12"/>
      <c r="L9" s="18"/>
      <c r="M9" s="33"/>
      <c r="N9" s="34"/>
    </row>
    <row r="10" spans="1:14" ht="18" customHeight="1" x14ac:dyDescent="0.3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43"/>
      <c r="L10" s="16"/>
      <c r="M10" s="35"/>
      <c r="N10" s="36"/>
    </row>
    <row r="11" spans="1:14" ht="18" customHeight="1" x14ac:dyDescent="0.3">
      <c r="A11" s="4"/>
      <c r="B11" s="74" t="s">
        <v>1</v>
      </c>
      <c r="C11" s="75"/>
      <c r="D11" s="75"/>
      <c r="E11" s="75"/>
      <c r="F11" s="75"/>
      <c r="G11" s="75"/>
      <c r="H11" s="75"/>
      <c r="I11" s="75"/>
      <c r="J11" s="76"/>
      <c r="K11" s="44"/>
      <c r="L11" s="17"/>
      <c r="M11" s="31"/>
      <c r="N11" s="32"/>
    </row>
    <row r="12" spans="1:14" ht="18" customHeight="1" x14ac:dyDescent="0.3">
      <c r="A12" s="4"/>
      <c r="B12" s="74"/>
      <c r="C12" s="75"/>
      <c r="D12" s="75"/>
      <c r="E12" s="75"/>
      <c r="F12" s="75"/>
      <c r="G12" s="75"/>
      <c r="H12" s="75"/>
      <c r="I12" s="75"/>
      <c r="J12" s="76"/>
      <c r="K12" s="44"/>
      <c r="L12" s="17"/>
      <c r="M12" s="31"/>
      <c r="N12" s="32"/>
    </row>
    <row r="13" spans="1:14" ht="18" customHeight="1" x14ac:dyDescent="0.3">
      <c r="B13" s="3" t="s">
        <v>2</v>
      </c>
      <c r="C13" s="45" t="s">
        <v>3</v>
      </c>
      <c r="D13" s="47"/>
      <c r="E13" s="45" t="s">
        <v>4</v>
      </c>
      <c r="F13" s="47"/>
      <c r="G13" s="45" t="s">
        <v>5</v>
      </c>
      <c r="H13" s="47"/>
      <c r="I13" s="45" t="s">
        <v>6</v>
      </c>
      <c r="J13" s="46"/>
      <c r="K13" s="11"/>
      <c r="L13" s="17"/>
      <c r="M13" s="31"/>
      <c r="N13" s="32"/>
    </row>
    <row r="14" spans="1:14" ht="18" customHeight="1" x14ac:dyDescent="0.3">
      <c r="B14" s="8"/>
      <c r="C14" s="41"/>
      <c r="D14" s="42"/>
      <c r="E14" s="41"/>
      <c r="F14" s="42"/>
      <c r="G14" s="41"/>
      <c r="H14" s="42"/>
      <c r="I14" s="41"/>
      <c r="J14" s="59"/>
      <c r="K14" s="11"/>
      <c r="L14" s="17"/>
      <c r="M14" s="31"/>
      <c r="N14" s="32"/>
    </row>
    <row r="15" spans="1:14" ht="18" customHeight="1" x14ac:dyDescent="0.3">
      <c r="B15" s="6"/>
      <c r="C15" s="39"/>
      <c r="D15" s="40"/>
      <c r="E15" s="39"/>
      <c r="F15" s="40"/>
      <c r="G15" s="39"/>
      <c r="H15" s="40"/>
      <c r="I15" s="60"/>
      <c r="J15" s="61"/>
      <c r="K15" s="13"/>
      <c r="L15" s="19"/>
      <c r="M15" s="33"/>
      <c r="N15" s="34"/>
    </row>
    <row r="16" spans="1:14" ht="18" customHeight="1" x14ac:dyDescent="0.3">
      <c r="B16" s="8"/>
      <c r="C16" s="41"/>
      <c r="D16" s="42"/>
      <c r="E16" s="41"/>
      <c r="F16" s="42"/>
      <c r="G16" s="41"/>
      <c r="H16" s="42"/>
      <c r="I16" s="62"/>
      <c r="J16" s="63"/>
      <c r="K16" s="43"/>
      <c r="L16" s="16"/>
      <c r="M16" s="35"/>
      <c r="N16" s="36"/>
    </row>
    <row r="17" spans="2:14" ht="18" customHeight="1" x14ac:dyDescent="0.3">
      <c r="B17" s="6"/>
      <c r="C17" s="39"/>
      <c r="D17" s="40"/>
      <c r="E17" s="39"/>
      <c r="F17" s="40"/>
      <c r="G17" s="39"/>
      <c r="H17" s="40"/>
      <c r="I17" s="60"/>
      <c r="J17" s="61"/>
      <c r="K17" s="44"/>
      <c r="L17" s="17"/>
      <c r="M17" s="31"/>
      <c r="N17" s="32"/>
    </row>
    <row r="18" spans="2:14" ht="18" customHeight="1" x14ac:dyDescent="0.3">
      <c r="B18" s="9"/>
      <c r="C18" s="57"/>
      <c r="D18" s="58"/>
      <c r="E18" s="57"/>
      <c r="F18" s="58"/>
      <c r="G18" s="57"/>
      <c r="H18" s="58"/>
      <c r="I18" s="57"/>
      <c r="J18" s="66"/>
      <c r="K18" s="44"/>
      <c r="L18" s="17"/>
      <c r="M18" s="31"/>
      <c r="N18" s="32"/>
    </row>
    <row r="19" spans="2:14" ht="18" customHeight="1" x14ac:dyDescent="0.3">
      <c r="B19" s="6"/>
      <c r="C19" s="39"/>
      <c r="D19" s="40"/>
      <c r="E19" s="39"/>
      <c r="F19" s="40"/>
      <c r="G19" s="39"/>
      <c r="H19" s="40"/>
      <c r="I19" s="60"/>
      <c r="J19" s="61"/>
      <c r="K19" s="11"/>
      <c r="L19" s="17"/>
      <c r="M19" s="31"/>
      <c r="N19" s="32"/>
    </row>
    <row r="20" spans="2:14" ht="18" customHeight="1" x14ac:dyDescent="0.3">
      <c r="B20" s="8"/>
      <c r="C20" s="41"/>
      <c r="D20" s="42"/>
      <c r="E20" s="41"/>
      <c r="F20" s="42"/>
      <c r="G20" s="41"/>
      <c r="H20" s="42"/>
      <c r="I20" s="41"/>
      <c r="J20" s="59"/>
      <c r="K20" s="11"/>
      <c r="L20" s="17"/>
      <c r="M20" s="31"/>
      <c r="N20" s="32"/>
    </row>
    <row r="21" spans="2:14" ht="18" customHeight="1" x14ac:dyDescent="0.3">
      <c r="B21" s="6"/>
      <c r="C21" s="39"/>
      <c r="D21" s="40"/>
      <c r="E21" s="39"/>
      <c r="F21" s="40"/>
      <c r="G21" s="39"/>
      <c r="H21" s="40"/>
      <c r="I21" s="64"/>
      <c r="J21" s="65"/>
      <c r="K21" s="13"/>
      <c r="L21" s="19"/>
      <c r="M21" s="33"/>
      <c r="N21" s="34"/>
    </row>
    <row r="22" spans="2:14" ht="18" customHeight="1" x14ac:dyDescent="0.3">
      <c r="B22" s="8"/>
      <c r="C22" s="41"/>
      <c r="D22" s="42"/>
      <c r="E22" s="41"/>
      <c r="F22" s="42"/>
      <c r="G22" s="41"/>
      <c r="H22" s="42"/>
      <c r="I22" s="41"/>
      <c r="J22" s="59"/>
      <c r="K22" s="43"/>
      <c r="L22" s="16"/>
      <c r="M22" s="35"/>
      <c r="N22" s="36"/>
    </row>
    <row r="23" spans="2:14" ht="18" customHeight="1" x14ac:dyDescent="0.3">
      <c r="B23" s="6"/>
      <c r="C23" s="39"/>
      <c r="D23" s="40"/>
      <c r="E23" s="39"/>
      <c r="F23" s="40"/>
      <c r="G23" s="39"/>
      <c r="H23" s="40"/>
      <c r="I23" s="60"/>
      <c r="J23" s="61"/>
      <c r="K23" s="44"/>
      <c r="L23" s="17"/>
      <c r="M23" s="31"/>
      <c r="N23" s="32"/>
    </row>
    <row r="24" spans="2:14" ht="18" customHeight="1" x14ac:dyDescent="0.3">
      <c r="B24" s="8"/>
      <c r="C24" s="41"/>
      <c r="D24" s="42"/>
      <c r="E24" s="41"/>
      <c r="F24" s="42"/>
      <c r="G24" s="41"/>
      <c r="H24" s="42"/>
      <c r="I24" s="41"/>
      <c r="J24" s="59"/>
      <c r="K24" s="44"/>
      <c r="L24" s="17"/>
      <c r="M24" s="31"/>
      <c r="N24" s="32"/>
    </row>
    <row r="25" spans="2:14" ht="18" customHeight="1" x14ac:dyDescent="0.3">
      <c r="B25" s="6"/>
      <c r="C25" s="39"/>
      <c r="D25" s="40"/>
      <c r="E25" s="39"/>
      <c r="F25" s="40"/>
      <c r="G25" s="39"/>
      <c r="H25" s="40"/>
      <c r="I25" s="60"/>
      <c r="J25" s="61"/>
      <c r="K25" s="44"/>
      <c r="L25" s="17"/>
      <c r="M25" s="31"/>
      <c r="N25" s="32"/>
    </row>
    <row r="26" spans="2:14" ht="18" customHeight="1" x14ac:dyDescent="0.3">
      <c r="B26" s="8"/>
      <c r="C26" s="41"/>
      <c r="D26" s="42"/>
      <c r="E26" s="41"/>
      <c r="F26" s="42"/>
      <c r="G26" s="41"/>
      <c r="H26" s="42"/>
      <c r="I26" s="41"/>
      <c r="J26" s="59"/>
      <c r="K26" s="11"/>
      <c r="L26" s="17"/>
      <c r="M26" s="31"/>
      <c r="N26" s="32"/>
    </row>
    <row r="27" spans="2:14" ht="18" customHeight="1" x14ac:dyDescent="0.3">
      <c r="B27" s="6"/>
      <c r="C27" s="39"/>
      <c r="D27" s="40"/>
      <c r="E27" s="39"/>
      <c r="F27" s="40"/>
      <c r="G27" s="39"/>
      <c r="H27" s="40"/>
      <c r="I27" s="60"/>
      <c r="J27" s="61"/>
      <c r="K27" s="13"/>
      <c r="L27" s="19"/>
      <c r="M27" s="33"/>
      <c r="N27" s="34"/>
    </row>
    <row r="28" spans="2:14" ht="18" customHeight="1" x14ac:dyDescent="0.3">
      <c r="B28" s="8"/>
      <c r="C28" s="41"/>
      <c r="D28" s="42"/>
      <c r="E28" s="41"/>
      <c r="F28" s="42"/>
      <c r="G28" s="41"/>
      <c r="H28" s="42"/>
      <c r="I28" s="41"/>
      <c r="J28" s="59"/>
      <c r="K28" s="43"/>
      <c r="L28" s="16"/>
      <c r="M28" s="35"/>
      <c r="N28" s="36"/>
    </row>
    <row r="29" spans="2:14" ht="18" customHeight="1" x14ac:dyDescent="0.3">
      <c r="B29" s="6"/>
      <c r="C29" s="39"/>
      <c r="D29" s="40"/>
      <c r="E29" s="39"/>
      <c r="F29" s="40"/>
      <c r="G29" s="39"/>
      <c r="H29" s="40"/>
      <c r="I29" s="39"/>
      <c r="J29" s="67"/>
      <c r="K29" s="44"/>
      <c r="L29" s="17"/>
      <c r="M29" s="31"/>
      <c r="N29" s="32"/>
    </row>
    <row r="30" spans="2:14" ht="18" customHeight="1" x14ac:dyDescent="0.3">
      <c r="B30" s="8"/>
      <c r="C30" s="41"/>
      <c r="D30" s="42"/>
      <c r="E30" s="41"/>
      <c r="F30" s="42"/>
      <c r="G30" s="41"/>
      <c r="H30" s="42"/>
      <c r="I30" s="68"/>
      <c r="J30" s="69"/>
      <c r="K30" s="44"/>
      <c r="L30" s="17"/>
      <c r="M30" s="31"/>
      <c r="N30" s="32"/>
    </row>
    <row r="31" spans="2:14" ht="18" customHeight="1" x14ac:dyDescent="0.3">
      <c r="B31" s="6"/>
      <c r="C31" s="39"/>
      <c r="D31" s="40"/>
      <c r="E31" s="39"/>
      <c r="F31" s="40"/>
      <c r="G31" s="39"/>
      <c r="H31" s="40"/>
      <c r="I31" s="39"/>
      <c r="J31" s="67"/>
      <c r="K31" s="14"/>
      <c r="L31" s="17"/>
      <c r="M31" s="31"/>
      <c r="N31" s="32"/>
    </row>
    <row r="32" spans="2:14" ht="18" customHeight="1" x14ac:dyDescent="0.3">
      <c r="B32" s="8"/>
      <c r="C32" s="41"/>
      <c r="D32" s="42"/>
      <c r="E32" s="41"/>
      <c r="F32" s="42"/>
      <c r="G32" s="41"/>
      <c r="H32" s="42"/>
      <c r="I32" s="62"/>
      <c r="J32" s="63"/>
      <c r="K32" s="14"/>
      <c r="L32" s="17"/>
      <c r="M32" s="31"/>
      <c r="N32" s="32"/>
    </row>
    <row r="33" spans="2:14" ht="18" customHeight="1" x14ac:dyDescent="0.35">
      <c r="B33" s="7"/>
      <c r="C33" s="55"/>
      <c r="D33" s="56"/>
      <c r="E33" s="55"/>
      <c r="F33" s="56"/>
      <c r="G33" s="55"/>
      <c r="H33" s="56"/>
      <c r="I33" s="70"/>
      <c r="J33" s="71"/>
      <c r="K33" s="15"/>
      <c r="L33" s="20"/>
      <c r="M33" s="77"/>
      <c r="N33" s="78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4:D24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M6:N6"/>
    <mergeCell ref="M7:N7"/>
    <mergeCell ref="M8:N8"/>
    <mergeCell ref="M9:N9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</mergeCells>
  <conditionalFormatting sqref="C4:H4">
    <cfRule type="expression" dxfId="39" priority="3" stopIfTrue="1">
      <formula>DAY(C4)&gt;8</formula>
    </cfRule>
  </conditionalFormatting>
  <conditionalFormatting sqref="C8:I10">
    <cfRule type="expression" dxfId="38" priority="2" stopIfTrue="1">
      <formula>AND(DAY(C8)&gt;=1,DAY(C8)&lt;=15)</formula>
    </cfRule>
  </conditionalFormatting>
  <conditionalFormatting sqref="C4:I9">
    <cfRule type="expression" dxfId="37" priority="4">
      <formula>VLOOKUP(DAY(C4),КоличествоДней,1,FALSE)=DAY(C4)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  <pageSetUpPr fitToPage="1"/>
  </sheetPr>
  <dimension ref="A1:O33"/>
  <sheetViews>
    <sheetView showGridLines="0" zoomScaleNormal="100" zoomScalePageLayoutView="84" workbookViewId="0">
      <selection activeCell="N2" sqref="N2:N3"/>
    </sheetView>
  </sheetViews>
  <sheetFormatPr defaultRowHeight="16.5" customHeight="1" x14ac:dyDescent="0.25"/>
  <cols>
    <col min="1" max="1" width="2.26953125" style="1" customWidth="1"/>
    <col min="2" max="2" width="17.54296875" style="1" customWidth="1"/>
    <col min="3" max="10" width="9.1796875" style="1" customWidth="1"/>
    <col min="11" max="11" width="7.26953125" style="1" customWidth="1"/>
    <col min="12" max="12" width="3.81640625" customWidth="1"/>
    <col min="13" max="13" width="51.453125" style="1" customWidth="1"/>
    <col min="14" max="14" width="10.7265625" style="1" customWidth="1"/>
    <col min="15" max="15" width="2.26953125" customWidth="1"/>
    <col min="16" max="16384" width="8.7265625" style="1"/>
  </cols>
  <sheetData>
    <row r="1" spans="1:14" ht="11.25" customHeight="1" x14ac:dyDescent="0.25"/>
    <row r="2" spans="1:14" ht="18" customHeight="1" x14ac:dyDescent="0.25">
      <c r="A2" s="4"/>
      <c r="B2" s="30"/>
      <c r="C2" s="21"/>
      <c r="D2" s="21"/>
      <c r="E2" s="21"/>
      <c r="F2" s="21"/>
      <c r="G2" s="21"/>
      <c r="H2" s="21"/>
      <c r="I2" s="21"/>
      <c r="J2" s="22"/>
      <c r="K2" s="48" t="s">
        <v>20</v>
      </c>
      <c r="L2" s="49">
        <v>2013</v>
      </c>
      <c r="M2" s="49"/>
      <c r="N2" s="79">
        <f>КалендарныйГод</f>
        <v>2020</v>
      </c>
    </row>
    <row r="3" spans="1:14" ht="21" customHeight="1" x14ac:dyDescent="0.25">
      <c r="A3" s="4"/>
      <c r="B3" s="72" t="s">
        <v>13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19</v>
      </c>
      <c r="J3" s="5"/>
      <c r="K3" s="50"/>
      <c r="L3" s="51"/>
      <c r="M3" s="51"/>
      <c r="N3" s="80"/>
    </row>
    <row r="4" spans="1:14" ht="18" customHeight="1" x14ac:dyDescent="0.3">
      <c r="A4" s="4"/>
      <c r="B4" s="72"/>
      <c r="C4" s="10">
        <f>IF(DAY(АпрВс1)=1,АпрВс1-6,АпрВс1+1)</f>
        <v>43920</v>
      </c>
      <c r="D4" s="10">
        <f>IF(DAY(АпрВс1)=1,АпрВс1-5,АпрВс1+2)</f>
        <v>43921</v>
      </c>
      <c r="E4" s="10">
        <f>IF(DAY(АпрВс1)=1,АпрВс1-4,АпрВс1+3)</f>
        <v>43922</v>
      </c>
      <c r="F4" s="10">
        <f>IF(DAY(АпрВс1)=1,АпрВс1-3,АпрВс1+4)</f>
        <v>43923</v>
      </c>
      <c r="G4" s="10">
        <f>IF(DAY(АпрВс1)=1,АпрВс1-2,АпрВс1+5)</f>
        <v>43924</v>
      </c>
      <c r="H4" s="10">
        <f>IF(DAY(АпрВс1)=1,АпрВс1-1,АпрВс1+6)</f>
        <v>43925</v>
      </c>
      <c r="I4" s="10">
        <f>IF(DAY(АпрВс1)=1,АпрВс1,АпрВс1+7)</f>
        <v>43926</v>
      </c>
      <c r="J4" s="5"/>
      <c r="K4" s="52"/>
      <c r="L4" s="16"/>
      <c r="M4" s="53"/>
      <c r="N4" s="54"/>
    </row>
    <row r="5" spans="1:14" ht="18" customHeight="1" x14ac:dyDescent="0.3">
      <c r="A5" s="4"/>
      <c r="B5" s="28"/>
      <c r="C5" s="10">
        <f>IF(DAY(АпрВс1)=1,АпрВс1+1,АпрВс1+8)</f>
        <v>43927</v>
      </c>
      <c r="D5" s="10">
        <f>IF(DAY(АпрВс1)=1,АпрВс1+2,АпрВс1+9)</f>
        <v>43928</v>
      </c>
      <c r="E5" s="10">
        <f>IF(DAY(АпрВс1)=1,АпрВс1+3,АпрВс1+10)</f>
        <v>43929</v>
      </c>
      <c r="F5" s="10">
        <f>IF(DAY(АпрВс1)=1,АпрВс1+4,АпрВс1+11)</f>
        <v>43930</v>
      </c>
      <c r="G5" s="10">
        <f>IF(DAY(АпрВс1)=1,АпрВс1+5,АпрВс1+12)</f>
        <v>43931</v>
      </c>
      <c r="H5" s="10">
        <f>IF(DAY(АпрВс1)=1,АпрВс1+6,АпрВс1+13)</f>
        <v>43932</v>
      </c>
      <c r="I5" s="10">
        <f>IF(DAY(АпрВс1)=1,АпрВс1+7,АпрВс1+14)</f>
        <v>43933</v>
      </c>
      <c r="J5" s="5"/>
      <c r="K5" s="44"/>
      <c r="L5" s="17"/>
      <c r="M5" s="31"/>
      <c r="N5" s="32"/>
    </row>
    <row r="6" spans="1:14" ht="18" customHeight="1" x14ac:dyDescent="0.3">
      <c r="A6" s="4"/>
      <c r="B6" s="28"/>
      <c r="C6" s="10">
        <f>IF(DAY(АпрВс1)=1,АпрВс1+8,АпрВс1+15)</f>
        <v>43934</v>
      </c>
      <c r="D6" s="10">
        <f>IF(DAY(АпрВс1)=1,АпрВс1+9,АпрВс1+16)</f>
        <v>43935</v>
      </c>
      <c r="E6" s="10">
        <f>IF(DAY(АпрВс1)=1,АпрВс1+10,АпрВс1+17)</f>
        <v>43936</v>
      </c>
      <c r="F6" s="10">
        <f>IF(DAY(АпрВс1)=1,АпрВс1+11,АпрВс1+18)</f>
        <v>43937</v>
      </c>
      <c r="G6" s="10">
        <f>IF(DAY(АпрВс1)=1,АпрВс1+12,АпрВс1+19)</f>
        <v>43938</v>
      </c>
      <c r="H6" s="10">
        <f>IF(DAY(АпрВс1)=1,АпрВс1+13,АпрВс1+20)</f>
        <v>43939</v>
      </c>
      <c r="I6" s="10">
        <f>IF(DAY(АпрВс1)=1,АпрВс1+14,АпрВс1+21)</f>
        <v>43940</v>
      </c>
      <c r="J6" s="5"/>
      <c r="K6" s="44"/>
      <c r="L6" s="17"/>
      <c r="M6" s="31"/>
      <c r="N6" s="32"/>
    </row>
    <row r="7" spans="1:14" ht="18" customHeight="1" x14ac:dyDescent="0.3">
      <c r="A7" s="4"/>
      <c r="B7" s="28"/>
      <c r="C7" s="10">
        <f>IF(DAY(АпрВс1)=1,АпрВс1+15,АпрВс1+22)</f>
        <v>43941</v>
      </c>
      <c r="D7" s="10">
        <f>IF(DAY(АпрВс1)=1,АпрВс1+16,АпрВс1+23)</f>
        <v>43942</v>
      </c>
      <c r="E7" s="10">
        <f>IF(DAY(АпрВс1)=1,АпрВс1+17,АпрВс1+24)</f>
        <v>43943</v>
      </c>
      <c r="F7" s="10">
        <f>IF(DAY(АпрВс1)=1,АпрВс1+18,АпрВс1+25)</f>
        <v>43944</v>
      </c>
      <c r="G7" s="10">
        <f>IF(DAY(АпрВс1)=1,АпрВс1+19,АпрВс1+26)</f>
        <v>43945</v>
      </c>
      <c r="H7" s="10">
        <f>IF(DAY(АпрВс1)=1,АпрВс1+20,АпрВс1+27)</f>
        <v>43946</v>
      </c>
      <c r="I7" s="10">
        <f>IF(DAY(АпрВс1)=1,АпрВс1+21,АпрВс1+28)</f>
        <v>43947</v>
      </c>
      <c r="J7" s="5"/>
      <c r="K7" s="11"/>
      <c r="L7" s="17"/>
      <c r="M7" s="31"/>
      <c r="N7" s="32"/>
    </row>
    <row r="8" spans="1:14" ht="18.75" customHeight="1" x14ac:dyDescent="0.3">
      <c r="A8" s="4"/>
      <c r="B8" s="28"/>
      <c r="C8" s="10">
        <f>IF(DAY(АпрВс1)=1,АпрВс1+22,АпрВс1+29)</f>
        <v>43948</v>
      </c>
      <c r="D8" s="10">
        <f>IF(DAY(АпрВс1)=1,АпрВс1+23,АпрВс1+30)</f>
        <v>43949</v>
      </c>
      <c r="E8" s="10">
        <f>IF(DAY(АпрВс1)=1,АпрВс1+24,АпрВс1+31)</f>
        <v>43950</v>
      </c>
      <c r="F8" s="10">
        <f>IF(DAY(АпрВс1)=1,АпрВс1+25,АпрВс1+32)</f>
        <v>43951</v>
      </c>
      <c r="G8" s="10">
        <f>IF(DAY(АпрВс1)=1,АпрВс1+26,АпрВс1+33)</f>
        <v>43952</v>
      </c>
      <c r="H8" s="10">
        <f>IF(DAY(АпрВс1)=1,АпрВс1+27,АпрВс1+34)</f>
        <v>43953</v>
      </c>
      <c r="I8" s="10">
        <f>IF(DAY(АпрВс1)=1,АпрВс1+28,АпрВс1+35)</f>
        <v>43954</v>
      </c>
      <c r="J8" s="5"/>
      <c r="K8" s="11"/>
      <c r="L8" s="17"/>
      <c r="M8" s="31"/>
      <c r="N8" s="32"/>
    </row>
    <row r="9" spans="1:14" ht="18" customHeight="1" x14ac:dyDescent="0.3">
      <c r="A9" s="4"/>
      <c r="B9" s="28"/>
      <c r="C9" s="10">
        <f>IF(DAY(АпрВс1)=1,АпрВс1+29,АпрВс1+36)</f>
        <v>43955</v>
      </c>
      <c r="D9" s="10">
        <f>IF(DAY(АпрВс1)=1,АпрВс1+30,АпрВс1+37)</f>
        <v>43956</v>
      </c>
      <c r="E9" s="10">
        <f>IF(DAY(АпрВс1)=1,АпрВс1+31,АпрВс1+38)</f>
        <v>43957</v>
      </c>
      <c r="F9" s="10">
        <f>IF(DAY(АпрВс1)=1,АпрВс1+32,АпрВс1+39)</f>
        <v>43958</v>
      </c>
      <c r="G9" s="10">
        <f>IF(DAY(АпрВс1)=1,АпрВс1+33,АпрВс1+40)</f>
        <v>43959</v>
      </c>
      <c r="H9" s="10">
        <f>IF(DAY(АпрВс1)=1,АпрВс1+34,АпрВс1+41)</f>
        <v>43960</v>
      </c>
      <c r="I9" s="10">
        <f>IF(DAY(АпрВс1)=1,АпрВс1+35,АпрВс1+42)</f>
        <v>43961</v>
      </c>
      <c r="J9" s="5"/>
      <c r="K9" s="12"/>
      <c r="L9" s="18"/>
      <c r="M9" s="33"/>
      <c r="N9" s="34"/>
    </row>
    <row r="10" spans="1:14" ht="18" customHeight="1" x14ac:dyDescent="0.3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43"/>
      <c r="L10" s="16"/>
      <c r="M10" s="35"/>
      <c r="N10" s="36"/>
    </row>
    <row r="11" spans="1:14" ht="18" customHeight="1" x14ac:dyDescent="0.3">
      <c r="A11" s="4"/>
      <c r="B11" s="74" t="s">
        <v>1</v>
      </c>
      <c r="C11" s="75"/>
      <c r="D11" s="75"/>
      <c r="E11" s="75"/>
      <c r="F11" s="75"/>
      <c r="G11" s="75"/>
      <c r="H11" s="75"/>
      <c r="I11" s="75"/>
      <c r="J11" s="76"/>
      <c r="K11" s="44"/>
      <c r="L11" s="17"/>
      <c r="M11" s="31"/>
      <c r="N11" s="32"/>
    </row>
    <row r="12" spans="1:14" ht="18" customHeight="1" x14ac:dyDescent="0.3">
      <c r="A12" s="4"/>
      <c r="B12" s="74"/>
      <c r="C12" s="75"/>
      <c r="D12" s="75"/>
      <c r="E12" s="75"/>
      <c r="F12" s="75"/>
      <c r="G12" s="75"/>
      <c r="H12" s="75"/>
      <c r="I12" s="75"/>
      <c r="J12" s="76"/>
      <c r="K12" s="44"/>
      <c r="L12" s="17"/>
      <c r="M12" s="31"/>
      <c r="N12" s="32"/>
    </row>
    <row r="13" spans="1:14" ht="18" customHeight="1" x14ac:dyDescent="0.3">
      <c r="B13" s="3" t="s">
        <v>2</v>
      </c>
      <c r="C13" s="45" t="s">
        <v>3</v>
      </c>
      <c r="D13" s="47"/>
      <c r="E13" s="45" t="s">
        <v>4</v>
      </c>
      <c r="F13" s="47"/>
      <c r="G13" s="45" t="s">
        <v>5</v>
      </c>
      <c r="H13" s="47"/>
      <c r="I13" s="45" t="s">
        <v>6</v>
      </c>
      <c r="J13" s="46"/>
      <c r="K13" s="11"/>
      <c r="L13" s="17"/>
      <c r="M13" s="31"/>
      <c r="N13" s="32"/>
    </row>
    <row r="14" spans="1:14" ht="18" customHeight="1" x14ac:dyDescent="0.3">
      <c r="B14" s="8"/>
      <c r="C14" s="41"/>
      <c r="D14" s="42"/>
      <c r="E14" s="41"/>
      <c r="F14" s="42"/>
      <c r="G14" s="41"/>
      <c r="H14" s="42"/>
      <c r="I14" s="41"/>
      <c r="J14" s="59"/>
      <c r="K14" s="11"/>
      <c r="L14" s="17"/>
      <c r="M14" s="31"/>
      <c r="N14" s="32"/>
    </row>
    <row r="15" spans="1:14" ht="18" customHeight="1" x14ac:dyDescent="0.3">
      <c r="B15" s="6"/>
      <c r="C15" s="39"/>
      <c r="D15" s="40"/>
      <c r="E15" s="39"/>
      <c r="F15" s="40"/>
      <c r="G15" s="39"/>
      <c r="H15" s="40"/>
      <c r="I15" s="60"/>
      <c r="J15" s="61"/>
      <c r="K15" s="13"/>
      <c r="L15" s="19"/>
      <c r="M15" s="33"/>
      <c r="N15" s="34"/>
    </row>
    <row r="16" spans="1:14" ht="18" customHeight="1" x14ac:dyDescent="0.3">
      <c r="B16" s="8"/>
      <c r="C16" s="41"/>
      <c r="D16" s="42"/>
      <c r="E16" s="41"/>
      <c r="F16" s="42"/>
      <c r="G16" s="41"/>
      <c r="H16" s="42"/>
      <c r="I16" s="62"/>
      <c r="J16" s="63"/>
      <c r="K16" s="43"/>
      <c r="L16" s="16"/>
      <c r="M16" s="35"/>
      <c r="N16" s="36"/>
    </row>
    <row r="17" spans="2:14" ht="18" customHeight="1" x14ac:dyDescent="0.3">
      <c r="B17" s="6"/>
      <c r="C17" s="39"/>
      <c r="D17" s="40"/>
      <c r="E17" s="39"/>
      <c r="F17" s="40"/>
      <c r="G17" s="39"/>
      <c r="H17" s="40"/>
      <c r="I17" s="60"/>
      <c r="J17" s="61"/>
      <c r="K17" s="44"/>
      <c r="L17" s="17"/>
      <c r="M17" s="31"/>
      <c r="N17" s="32"/>
    </row>
    <row r="18" spans="2:14" ht="18" customHeight="1" x14ac:dyDescent="0.3">
      <c r="B18" s="9"/>
      <c r="C18" s="57"/>
      <c r="D18" s="58"/>
      <c r="E18" s="57"/>
      <c r="F18" s="58"/>
      <c r="G18" s="57"/>
      <c r="H18" s="58"/>
      <c r="I18" s="57"/>
      <c r="J18" s="66"/>
      <c r="K18" s="44"/>
      <c r="L18" s="17"/>
      <c r="M18" s="31"/>
      <c r="N18" s="32"/>
    </row>
    <row r="19" spans="2:14" ht="18" customHeight="1" x14ac:dyDescent="0.3">
      <c r="B19" s="6"/>
      <c r="C19" s="39"/>
      <c r="D19" s="40"/>
      <c r="E19" s="39"/>
      <c r="F19" s="40"/>
      <c r="G19" s="39"/>
      <c r="H19" s="40"/>
      <c r="I19" s="60"/>
      <c r="J19" s="61"/>
      <c r="K19" s="11"/>
      <c r="L19" s="17"/>
      <c r="M19" s="31"/>
      <c r="N19" s="32"/>
    </row>
    <row r="20" spans="2:14" ht="18" customHeight="1" x14ac:dyDescent="0.3">
      <c r="B20" s="8"/>
      <c r="C20" s="41"/>
      <c r="D20" s="42"/>
      <c r="E20" s="41"/>
      <c r="F20" s="42"/>
      <c r="G20" s="41"/>
      <c r="H20" s="42"/>
      <c r="I20" s="41"/>
      <c r="J20" s="59"/>
      <c r="K20" s="11"/>
      <c r="L20" s="17"/>
      <c r="M20" s="31"/>
      <c r="N20" s="32"/>
    </row>
    <row r="21" spans="2:14" ht="18" customHeight="1" x14ac:dyDescent="0.3">
      <c r="B21" s="6"/>
      <c r="C21" s="39"/>
      <c r="D21" s="40"/>
      <c r="E21" s="39"/>
      <c r="F21" s="40"/>
      <c r="G21" s="39"/>
      <c r="H21" s="40"/>
      <c r="I21" s="64"/>
      <c r="J21" s="65"/>
      <c r="K21" s="13"/>
      <c r="L21" s="19"/>
      <c r="M21" s="33"/>
      <c r="N21" s="34"/>
    </row>
    <row r="22" spans="2:14" ht="18" customHeight="1" x14ac:dyDescent="0.3">
      <c r="B22" s="8"/>
      <c r="C22" s="41"/>
      <c r="D22" s="42"/>
      <c r="E22" s="41"/>
      <c r="F22" s="42"/>
      <c r="G22" s="41"/>
      <c r="H22" s="42"/>
      <c r="I22" s="41"/>
      <c r="J22" s="59"/>
      <c r="K22" s="43"/>
      <c r="L22" s="16"/>
      <c r="M22" s="35"/>
      <c r="N22" s="36"/>
    </row>
    <row r="23" spans="2:14" ht="18" customHeight="1" x14ac:dyDescent="0.3">
      <c r="B23" s="6"/>
      <c r="C23" s="39"/>
      <c r="D23" s="40"/>
      <c r="E23" s="39"/>
      <c r="F23" s="40"/>
      <c r="G23" s="39"/>
      <c r="H23" s="40"/>
      <c r="I23" s="60"/>
      <c r="J23" s="61"/>
      <c r="K23" s="44"/>
      <c r="L23" s="17"/>
      <c r="M23" s="31"/>
      <c r="N23" s="32"/>
    </row>
    <row r="24" spans="2:14" ht="18" customHeight="1" x14ac:dyDescent="0.3">
      <c r="B24" s="8"/>
      <c r="C24" s="41"/>
      <c r="D24" s="42"/>
      <c r="E24" s="41"/>
      <c r="F24" s="42"/>
      <c r="G24" s="41"/>
      <c r="H24" s="42"/>
      <c r="I24" s="41"/>
      <c r="J24" s="59"/>
      <c r="K24" s="44"/>
      <c r="L24" s="17"/>
      <c r="M24" s="31"/>
      <c r="N24" s="32"/>
    </row>
    <row r="25" spans="2:14" ht="18" customHeight="1" x14ac:dyDescent="0.3">
      <c r="B25" s="6"/>
      <c r="C25" s="39"/>
      <c r="D25" s="40"/>
      <c r="E25" s="39"/>
      <c r="F25" s="40"/>
      <c r="G25" s="39"/>
      <c r="H25" s="40"/>
      <c r="I25" s="60"/>
      <c r="J25" s="61"/>
      <c r="K25" s="44"/>
      <c r="L25" s="17"/>
      <c r="M25" s="31"/>
      <c r="N25" s="32"/>
    </row>
    <row r="26" spans="2:14" ht="18" customHeight="1" x14ac:dyDescent="0.3">
      <c r="B26" s="8"/>
      <c r="C26" s="41"/>
      <c r="D26" s="42"/>
      <c r="E26" s="41"/>
      <c r="F26" s="42"/>
      <c r="G26" s="41"/>
      <c r="H26" s="42"/>
      <c r="I26" s="41"/>
      <c r="J26" s="59"/>
      <c r="K26" s="11"/>
      <c r="L26" s="17"/>
      <c r="M26" s="31"/>
      <c r="N26" s="32"/>
    </row>
    <row r="27" spans="2:14" ht="18" customHeight="1" x14ac:dyDescent="0.3">
      <c r="B27" s="6"/>
      <c r="C27" s="39"/>
      <c r="D27" s="40"/>
      <c r="E27" s="39"/>
      <c r="F27" s="40"/>
      <c r="G27" s="39"/>
      <c r="H27" s="40"/>
      <c r="I27" s="60"/>
      <c r="J27" s="61"/>
      <c r="K27" s="13"/>
      <c r="L27" s="19"/>
      <c r="M27" s="33"/>
      <c r="N27" s="34"/>
    </row>
    <row r="28" spans="2:14" ht="18" customHeight="1" x14ac:dyDescent="0.3">
      <c r="B28" s="8"/>
      <c r="C28" s="41"/>
      <c r="D28" s="42"/>
      <c r="E28" s="41"/>
      <c r="F28" s="42"/>
      <c r="G28" s="41"/>
      <c r="H28" s="42"/>
      <c r="I28" s="41"/>
      <c r="J28" s="59"/>
      <c r="K28" s="43"/>
      <c r="L28" s="16"/>
      <c r="M28" s="35"/>
      <c r="N28" s="36"/>
    </row>
    <row r="29" spans="2:14" ht="18" customHeight="1" x14ac:dyDescent="0.3">
      <c r="B29" s="6"/>
      <c r="C29" s="39"/>
      <c r="D29" s="40"/>
      <c r="E29" s="39"/>
      <c r="F29" s="40"/>
      <c r="G29" s="39"/>
      <c r="H29" s="40"/>
      <c r="I29" s="39"/>
      <c r="J29" s="67"/>
      <c r="K29" s="44"/>
      <c r="L29" s="17"/>
      <c r="M29" s="31"/>
      <c r="N29" s="32"/>
    </row>
    <row r="30" spans="2:14" ht="18" customHeight="1" x14ac:dyDescent="0.3">
      <c r="B30" s="8"/>
      <c r="C30" s="41"/>
      <c r="D30" s="42"/>
      <c r="E30" s="41"/>
      <c r="F30" s="42"/>
      <c r="G30" s="41"/>
      <c r="H30" s="42"/>
      <c r="I30" s="68"/>
      <c r="J30" s="69"/>
      <c r="K30" s="44"/>
      <c r="L30" s="17"/>
      <c r="M30" s="31"/>
      <c r="N30" s="32"/>
    </row>
    <row r="31" spans="2:14" ht="18" customHeight="1" x14ac:dyDescent="0.3">
      <c r="B31" s="6"/>
      <c r="C31" s="39"/>
      <c r="D31" s="40"/>
      <c r="E31" s="39"/>
      <c r="F31" s="40"/>
      <c r="G31" s="39"/>
      <c r="H31" s="40"/>
      <c r="I31" s="39"/>
      <c r="J31" s="67"/>
      <c r="K31" s="14"/>
      <c r="L31" s="17"/>
      <c r="M31" s="31"/>
      <c r="N31" s="32"/>
    </row>
    <row r="32" spans="2:14" ht="18" customHeight="1" x14ac:dyDescent="0.3">
      <c r="B32" s="8"/>
      <c r="C32" s="41"/>
      <c r="D32" s="42"/>
      <c r="E32" s="41"/>
      <c r="F32" s="42"/>
      <c r="G32" s="41"/>
      <c r="H32" s="42"/>
      <c r="I32" s="62"/>
      <c r="J32" s="63"/>
      <c r="K32" s="14"/>
      <c r="L32" s="17"/>
      <c r="M32" s="31"/>
      <c r="N32" s="32"/>
    </row>
    <row r="33" spans="2:14" ht="18" customHeight="1" x14ac:dyDescent="0.35">
      <c r="B33" s="7"/>
      <c r="C33" s="55"/>
      <c r="D33" s="56"/>
      <c r="E33" s="55"/>
      <c r="F33" s="56"/>
      <c r="G33" s="55"/>
      <c r="H33" s="56"/>
      <c r="I33" s="70"/>
      <c r="J33" s="71"/>
      <c r="K33" s="15"/>
      <c r="L33" s="20"/>
      <c r="M33" s="77"/>
      <c r="N33" s="78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4:D24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M6:N6"/>
    <mergeCell ref="M7:N7"/>
    <mergeCell ref="M8:N8"/>
    <mergeCell ref="M9:N9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</mergeCells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3" priority="4">
      <formula>VLOOKUP(DAY(C4),КоличествоДней,1,FALSE)=DAY(C4)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  <pageSetUpPr fitToPage="1"/>
  </sheetPr>
  <dimension ref="A1:O33"/>
  <sheetViews>
    <sheetView showGridLines="0" zoomScaleNormal="100" zoomScalePageLayoutView="84" workbookViewId="0">
      <selection activeCell="N2" sqref="N2:N3"/>
    </sheetView>
  </sheetViews>
  <sheetFormatPr defaultRowHeight="16.5" customHeight="1" x14ac:dyDescent="0.25"/>
  <cols>
    <col min="1" max="1" width="2.26953125" style="1" customWidth="1"/>
    <col min="2" max="2" width="17.54296875" style="1" customWidth="1"/>
    <col min="3" max="10" width="9.1796875" style="1" customWidth="1"/>
    <col min="11" max="11" width="7.26953125" style="1" customWidth="1"/>
    <col min="12" max="12" width="3.81640625" customWidth="1"/>
    <col min="13" max="13" width="51.453125" style="1" customWidth="1"/>
    <col min="14" max="14" width="10.7265625" style="1" customWidth="1"/>
    <col min="15" max="15" width="2.26953125" customWidth="1"/>
    <col min="16" max="16384" width="8.7265625" style="1"/>
  </cols>
  <sheetData>
    <row r="1" spans="1:14" ht="11.25" customHeight="1" x14ac:dyDescent="0.25"/>
    <row r="2" spans="1:14" ht="18" customHeight="1" x14ac:dyDescent="0.25">
      <c r="A2" s="4"/>
      <c r="B2" s="30"/>
      <c r="C2" s="21"/>
      <c r="D2" s="21"/>
      <c r="E2" s="21"/>
      <c r="F2" s="21"/>
      <c r="G2" s="21"/>
      <c r="H2" s="21"/>
      <c r="I2" s="21"/>
      <c r="J2" s="22"/>
      <c r="K2" s="48" t="s">
        <v>20</v>
      </c>
      <c r="L2" s="49">
        <v>2013</v>
      </c>
      <c r="M2" s="49"/>
      <c r="N2" s="79">
        <f>КалендарныйГод</f>
        <v>2020</v>
      </c>
    </row>
    <row r="3" spans="1:14" ht="21" customHeight="1" x14ac:dyDescent="0.25">
      <c r="A3" s="4"/>
      <c r="B3" s="72" t="s">
        <v>14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19</v>
      </c>
      <c r="J3" s="5"/>
      <c r="K3" s="50"/>
      <c r="L3" s="51"/>
      <c r="M3" s="51"/>
      <c r="N3" s="80"/>
    </row>
    <row r="4" spans="1:14" ht="18" customHeight="1" x14ac:dyDescent="0.3">
      <c r="A4" s="4"/>
      <c r="B4" s="72"/>
      <c r="C4" s="10">
        <f>IF(DAY(МайВс1)=1,МайВс1-6,МайВс1+1)</f>
        <v>43948</v>
      </c>
      <c r="D4" s="10">
        <f>IF(DAY(МайВс1)=1,МайВс1-5,МайВс1+2)</f>
        <v>43949</v>
      </c>
      <c r="E4" s="10">
        <f>IF(DAY(МайВс1)=1,МайВс1-4,МайВс1+3)</f>
        <v>43950</v>
      </c>
      <c r="F4" s="10">
        <f>IF(DAY(МайВс1)=1,МайВс1-3,МайВс1+4)</f>
        <v>43951</v>
      </c>
      <c r="G4" s="10">
        <f>IF(DAY(МайВс1)=1,МайВс1-2,МайВс1+5)</f>
        <v>43952</v>
      </c>
      <c r="H4" s="10">
        <f>IF(DAY(МайВс1)=1,МайВс1-1,МайВс1+6)</f>
        <v>43953</v>
      </c>
      <c r="I4" s="10">
        <f>IF(DAY(МайВс1)=1,МайВс1,МайВс1+7)</f>
        <v>43954</v>
      </c>
      <c r="J4" s="5"/>
      <c r="K4" s="52"/>
      <c r="L4" s="16"/>
      <c r="M4" s="53"/>
      <c r="N4" s="54"/>
    </row>
    <row r="5" spans="1:14" ht="18" customHeight="1" x14ac:dyDescent="0.3">
      <c r="A5" s="4"/>
      <c r="B5" s="28"/>
      <c r="C5" s="10">
        <f>IF(DAY(МайВс1)=1,МайВс1+1,МайВс1+8)</f>
        <v>43955</v>
      </c>
      <c r="D5" s="10">
        <f>IF(DAY(МайВс1)=1,МайВс1+2,МайВс1+9)</f>
        <v>43956</v>
      </c>
      <c r="E5" s="10">
        <f>IF(DAY(МайВс1)=1,МайВс1+3,МайВс1+10)</f>
        <v>43957</v>
      </c>
      <c r="F5" s="10">
        <f>IF(DAY(МайВс1)=1,МайВс1+4,МайВс1+11)</f>
        <v>43958</v>
      </c>
      <c r="G5" s="10">
        <f>IF(DAY(МайВс1)=1,МайВс1+5,МайВс1+12)</f>
        <v>43959</v>
      </c>
      <c r="H5" s="10">
        <f>IF(DAY(МайВс1)=1,МайВс1+6,МайВс1+13)</f>
        <v>43960</v>
      </c>
      <c r="I5" s="10">
        <f>IF(DAY(МайВс1)=1,МайВс1+7,МайВс1+14)</f>
        <v>43961</v>
      </c>
      <c r="J5" s="5"/>
      <c r="K5" s="44"/>
      <c r="L5" s="17"/>
      <c r="M5" s="31"/>
      <c r="N5" s="32"/>
    </row>
    <row r="6" spans="1:14" ht="18" customHeight="1" x14ac:dyDescent="0.3">
      <c r="A6" s="4"/>
      <c r="B6" s="28"/>
      <c r="C6" s="10">
        <f>IF(DAY(МайВс1)=1,МайВс1+8,МайВс1+15)</f>
        <v>43962</v>
      </c>
      <c r="D6" s="10">
        <f>IF(DAY(МайВс1)=1,МайВс1+9,МайВс1+16)</f>
        <v>43963</v>
      </c>
      <c r="E6" s="10">
        <f>IF(DAY(МайВс1)=1,МайВс1+10,МайВс1+17)</f>
        <v>43964</v>
      </c>
      <c r="F6" s="10">
        <f>IF(DAY(МайВс1)=1,МайВс1+11,МайВс1+18)</f>
        <v>43965</v>
      </c>
      <c r="G6" s="10">
        <f>IF(DAY(МайВс1)=1,МайВс1+12,МайВс1+19)</f>
        <v>43966</v>
      </c>
      <c r="H6" s="10">
        <f>IF(DAY(МайВс1)=1,МайВс1+13,МайВс1+20)</f>
        <v>43967</v>
      </c>
      <c r="I6" s="10">
        <f>IF(DAY(МайВс1)=1,МайВс1+14,МайВс1+21)</f>
        <v>43968</v>
      </c>
      <c r="J6" s="5"/>
      <c r="K6" s="44"/>
      <c r="L6" s="17"/>
      <c r="M6" s="31"/>
      <c r="N6" s="32"/>
    </row>
    <row r="7" spans="1:14" ht="18" customHeight="1" x14ac:dyDescent="0.3">
      <c r="A7" s="4"/>
      <c r="B7" s="28"/>
      <c r="C7" s="10">
        <f>IF(DAY(МайВс1)=1,МайВс1+15,МайВс1+22)</f>
        <v>43969</v>
      </c>
      <c r="D7" s="10">
        <f>IF(DAY(МайВс1)=1,МайВс1+16,МайВс1+23)</f>
        <v>43970</v>
      </c>
      <c r="E7" s="10">
        <f>IF(DAY(МайВс1)=1,МайВс1+17,МайВс1+24)</f>
        <v>43971</v>
      </c>
      <c r="F7" s="10">
        <f>IF(DAY(МайВс1)=1,МайВс1+18,МайВс1+25)</f>
        <v>43972</v>
      </c>
      <c r="G7" s="10">
        <f>IF(DAY(МайВс1)=1,МайВс1+19,МайВс1+26)</f>
        <v>43973</v>
      </c>
      <c r="H7" s="10">
        <f>IF(DAY(МайВс1)=1,МайВс1+20,МайВс1+27)</f>
        <v>43974</v>
      </c>
      <c r="I7" s="10">
        <f>IF(DAY(МайВс1)=1,МайВс1+21,МайВс1+28)</f>
        <v>43975</v>
      </c>
      <c r="J7" s="5"/>
      <c r="K7" s="11"/>
      <c r="L7" s="17"/>
      <c r="M7" s="31"/>
      <c r="N7" s="32"/>
    </row>
    <row r="8" spans="1:14" ht="18.75" customHeight="1" x14ac:dyDescent="0.3">
      <c r="A8" s="4"/>
      <c r="B8" s="28"/>
      <c r="C8" s="10">
        <f>IF(DAY(МайВс1)=1,МайВс1+22,МайВс1+29)</f>
        <v>43976</v>
      </c>
      <c r="D8" s="10">
        <f>IF(DAY(МайВс1)=1,МайВс1+23,МайВс1+30)</f>
        <v>43977</v>
      </c>
      <c r="E8" s="10">
        <f>IF(DAY(МайВс1)=1,МайВс1+24,МайВс1+31)</f>
        <v>43978</v>
      </c>
      <c r="F8" s="10">
        <f>IF(DAY(МайВс1)=1,МайВс1+25,МайВс1+32)</f>
        <v>43979</v>
      </c>
      <c r="G8" s="10">
        <f>IF(DAY(МайВс1)=1,МайВс1+26,МайВс1+33)</f>
        <v>43980</v>
      </c>
      <c r="H8" s="10">
        <f>IF(DAY(МайВс1)=1,МайВс1+27,МайВс1+34)</f>
        <v>43981</v>
      </c>
      <c r="I8" s="10">
        <f>IF(DAY(МайВс1)=1,МайВс1+28,МайВс1+35)</f>
        <v>43982</v>
      </c>
      <c r="J8" s="5"/>
      <c r="K8" s="11"/>
      <c r="L8" s="17"/>
      <c r="M8" s="31"/>
      <c r="N8" s="32"/>
    </row>
    <row r="9" spans="1:14" ht="18" customHeight="1" x14ac:dyDescent="0.3">
      <c r="A9" s="4"/>
      <c r="B9" s="28"/>
      <c r="C9" s="10">
        <f>IF(DAY(МайВс1)=1,МайВс1+29,МайВс1+36)</f>
        <v>43983</v>
      </c>
      <c r="D9" s="10">
        <f>IF(DAY(МайВс1)=1,МайВс1+30,МайВс1+37)</f>
        <v>43984</v>
      </c>
      <c r="E9" s="10">
        <f>IF(DAY(МайВс1)=1,МайВс1+31,МайВс1+38)</f>
        <v>43985</v>
      </c>
      <c r="F9" s="10">
        <f>IF(DAY(МайВс1)=1,МайВс1+32,МайВс1+39)</f>
        <v>43986</v>
      </c>
      <c r="G9" s="10">
        <f>IF(DAY(МайВс1)=1,МайВс1+33,МайВс1+40)</f>
        <v>43987</v>
      </c>
      <c r="H9" s="10">
        <f>IF(DAY(МайВс1)=1,МайВс1+34,МайВс1+41)</f>
        <v>43988</v>
      </c>
      <c r="I9" s="10">
        <f>IF(DAY(МайВс1)=1,МайВс1+35,МайВс1+42)</f>
        <v>43989</v>
      </c>
      <c r="J9" s="5"/>
      <c r="K9" s="12"/>
      <c r="L9" s="18"/>
      <c r="M9" s="33"/>
      <c r="N9" s="34"/>
    </row>
    <row r="10" spans="1:14" ht="18" customHeight="1" x14ac:dyDescent="0.3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43"/>
      <c r="L10" s="16"/>
      <c r="M10" s="35"/>
      <c r="N10" s="36"/>
    </row>
    <row r="11" spans="1:14" ht="18" customHeight="1" x14ac:dyDescent="0.3">
      <c r="A11" s="4"/>
      <c r="B11" s="74" t="s">
        <v>1</v>
      </c>
      <c r="C11" s="75"/>
      <c r="D11" s="75"/>
      <c r="E11" s="75"/>
      <c r="F11" s="75"/>
      <c r="G11" s="75"/>
      <c r="H11" s="75"/>
      <c r="I11" s="75"/>
      <c r="J11" s="76"/>
      <c r="K11" s="44"/>
      <c r="L11" s="17"/>
      <c r="M11" s="31"/>
      <c r="N11" s="32"/>
    </row>
    <row r="12" spans="1:14" ht="18" customHeight="1" x14ac:dyDescent="0.3">
      <c r="A12" s="4"/>
      <c r="B12" s="74"/>
      <c r="C12" s="75"/>
      <c r="D12" s="75"/>
      <c r="E12" s="75"/>
      <c r="F12" s="75"/>
      <c r="G12" s="75"/>
      <c r="H12" s="75"/>
      <c r="I12" s="75"/>
      <c r="J12" s="76"/>
      <c r="K12" s="44"/>
      <c r="L12" s="17"/>
      <c r="M12" s="31"/>
      <c r="N12" s="32"/>
    </row>
    <row r="13" spans="1:14" ht="18" customHeight="1" x14ac:dyDescent="0.3">
      <c r="B13" s="3" t="s">
        <v>2</v>
      </c>
      <c r="C13" s="45" t="s">
        <v>3</v>
      </c>
      <c r="D13" s="47"/>
      <c r="E13" s="45" t="s">
        <v>4</v>
      </c>
      <c r="F13" s="47"/>
      <c r="G13" s="45" t="s">
        <v>5</v>
      </c>
      <c r="H13" s="47"/>
      <c r="I13" s="45" t="s">
        <v>6</v>
      </c>
      <c r="J13" s="46"/>
      <c r="K13" s="11"/>
      <c r="L13" s="17"/>
      <c r="M13" s="31"/>
      <c r="N13" s="32"/>
    </row>
    <row r="14" spans="1:14" ht="18" customHeight="1" x14ac:dyDescent="0.3">
      <c r="B14" s="8"/>
      <c r="C14" s="41"/>
      <c r="D14" s="42"/>
      <c r="E14" s="41"/>
      <c r="F14" s="42"/>
      <c r="G14" s="41"/>
      <c r="H14" s="42"/>
      <c r="I14" s="41"/>
      <c r="J14" s="59"/>
      <c r="K14" s="11"/>
      <c r="L14" s="17"/>
      <c r="M14" s="31"/>
      <c r="N14" s="32"/>
    </row>
    <row r="15" spans="1:14" ht="18" customHeight="1" x14ac:dyDescent="0.3">
      <c r="B15" s="6"/>
      <c r="C15" s="39"/>
      <c r="D15" s="40"/>
      <c r="E15" s="39"/>
      <c r="F15" s="40"/>
      <c r="G15" s="39"/>
      <c r="H15" s="40"/>
      <c r="I15" s="60"/>
      <c r="J15" s="61"/>
      <c r="K15" s="13"/>
      <c r="L15" s="19"/>
      <c r="M15" s="33"/>
      <c r="N15" s="34"/>
    </row>
    <row r="16" spans="1:14" ht="18" customHeight="1" x14ac:dyDescent="0.3">
      <c r="B16" s="8"/>
      <c r="C16" s="41"/>
      <c r="D16" s="42"/>
      <c r="E16" s="41"/>
      <c r="F16" s="42"/>
      <c r="G16" s="41"/>
      <c r="H16" s="42"/>
      <c r="I16" s="62"/>
      <c r="J16" s="63"/>
      <c r="K16" s="43"/>
      <c r="L16" s="16"/>
      <c r="M16" s="35"/>
      <c r="N16" s="36"/>
    </row>
    <row r="17" spans="2:14" ht="18" customHeight="1" x14ac:dyDescent="0.3">
      <c r="B17" s="6"/>
      <c r="C17" s="39"/>
      <c r="D17" s="40"/>
      <c r="E17" s="39"/>
      <c r="F17" s="40"/>
      <c r="G17" s="39"/>
      <c r="H17" s="40"/>
      <c r="I17" s="60"/>
      <c r="J17" s="61"/>
      <c r="K17" s="44"/>
      <c r="L17" s="17"/>
      <c r="M17" s="31"/>
      <c r="N17" s="32"/>
    </row>
    <row r="18" spans="2:14" ht="18" customHeight="1" x14ac:dyDescent="0.3">
      <c r="B18" s="9"/>
      <c r="C18" s="57"/>
      <c r="D18" s="58"/>
      <c r="E18" s="57"/>
      <c r="F18" s="58"/>
      <c r="G18" s="57"/>
      <c r="H18" s="58"/>
      <c r="I18" s="57"/>
      <c r="J18" s="66"/>
      <c r="K18" s="44"/>
      <c r="L18" s="17"/>
      <c r="M18" s="31"/>
      <c r="N18" s="32"/>
    </row>
    <row r="19" spans="2:14" ht="18" customHeight="1" x14ac:dyDescent="0.3">
      <c r="B19" s="6"/>
      <c r="C19" s="39"/>
      <c r="D19" s="40"/>
      <c r="E19" s="39"/>
      <c r="F19" s="40"/>
      <c r="G19" s="39"/>
      <c r="H19" s="40"/>
      <c r="I19" s="60"/>
      <c r="J19" s="61"/>
      <c r="K19" s="11"/>
      <c r="L19" s="17"/>
      <c r="M19" s="31"/>
      <c r="N19" s="32"/>
    </row>
    <row r="20" spans="2:14" ht="18" customHeight="1" x14ac:dyDescent="0.3">
      <c r="B20" s="8"/>
      <c r="C20" s="41"/>
      <c r="D20" s="42"/>
      <c r="E20" s="41"/>
      <c r="F20" s="42"/>
      <c r="G20" s="41"/>
      <c r="H20" s="42"/>
      <c r="I20" s="41"/>
      <c r="J20" s="59"/>
      <c r="K20" s="11"/>
      <c r="L20" s="17"/>
      <c r="M20" s="31"/>
      <c r="N20" s="32"/>
    </row>
    <row r="21" spans="2:14" ht="18" customHeight="1" x14ac:dyDescent="0.3">
      <c r="B21" s="6"/>
      <c r="C21" s="39"/>
      <c r="D21" s="40"/>
      <c r="E21" s="39"/>
      <c r="F21" s="40"/>
      <c r="G21" s="39"/>
      <c r="H21" s="40"/>
      <c r="I21" s="64"/>
      <c r="J21" s="65"/>
      <c r="K21" s="13"/>
      <c r="L21" s="19"/>
      <c r="M21" s="33"/>
      <c r="N21" s="34"/>
    </row>
    <row r="22" spans="2:14" ht="18" customHeight="1" x14ac:dyDescent="0.3">
      <c r="B22" s="8"/>
      <c r="C22" s="41"/>
      <c r="D22" s="42"/>
      <c r="E22" s="41"/>
      <c r="F22" s="42"/>
      <c r="G22" s="41"/>
      <c r="H22" s="42"/>
      <c r="I22" s="41"/>
      <c r="J22" s="59"/>
      <c r="K22" s="43"/>
      <c r="L22" s="16"/>
      <c r="M22" s="35"/>
      <c r="N22" s="36"/>
    </row>
    <row r="23" spans="2:14" ht="18" customHeight="1" x14ac:dyDescent="0.3">
      <c r="B23" s="6"/>
      <c r="C23" s="39"/>
      <c r="D23" s="40"/>
      <c r="E23" s="39"/>
      <c r="F23" s="40"/>
      <c r="G23" s="39"/>
      <c r="H23" s="40"/>
      <c r="I23" s="60"/>
      <c r="J23" s="61"/>
      <c r="K23" s="44"/>
      <c r="L23" s="17"/>
      <c r="M23" s="31"/>
      <c r="N23" s="32"/>
    </row>
    <row r="24" spans="2:14" ht="18" customHeight="1" x14ac:dyDescent="0.3">
      <c r="B24" s="8"/>
      <c r="C24" s="41"/>
      <c r="D24" s="42"/>
      <c r="E24" s="41"/>
      <c r="F24" s="42"/>
      <c r="G24" s="41"/>
      <c r="H24" s="42"/>
      <c r="I24" s="41"/>
      <c r="J24" s="59"/>
      <c r="K24" s="44"/>
      <c r="L24" s="17"/>
      <c r="M24" s="31"/>
      <c r="N24" s="32"/>
    </row>
    <row r="25" spans="2:14" ht="18" customHeight="1" x14ac:dyDescent="0.3">
      <c r="B25" s="6"/>
      <c r="C25" s="39"/>
      <c r="D25" s="40"/>
      <c r="E25" s="39"/>
      <c r="F25" s="40"/>
      <c r="G25" s="39"/>
      <c r="H25" s="40"/>
      <c r="I25" s="60"/>
      <c r="J25" s="61"/>
      <c r="K25" s="44"/>
      <c r="L25" s="17"/>
      <c r="M25" s="31"/>
      <c r="N25" s="32"/>
    </row>
    <row r="26" spans="2:14" ht="18" customHeight="1" x14ac:dyDescent="0.3">
      <c r="B26" s="8"/>
      <c r="C26" s="41"/>
      <c r="D26" s="42"/>
      <c r="E26" s="41"/>
      <c r="F26" s="42"/>
      <c r="G26" s="41"/>
      <c r="H26" s="42"/>
      <c r="I26" s="41"/>
      <c r="J26" s="59"/>
      <c r="K26" s="11"/>
      <c r="L26" s="17"/>
      <c r="M26" s="31"/>
      <c r="N26" s="32"/>
    </row>
    <row r="27" spans="2:14" ht="18" customHeight="1" x14ac:dyDescent="0.3">
      <c r="B27" s="6"/>
      <c r="C27" s="39"/>
      <c r="D27" s="40"/>
      <c r="E27" s="39"/>
      <c r="F27" s="40"/>
      <c r="G27" s="39"/>
      <c r="H27" s="40"/>
      <c r="I27" s="60"/>
      <c r="J27" s="61"/>
      <c r="K27" s="13"/>
      <c r="L27" s="19"/>
      <c r="M27" s="33"/>
      <c r="N27" s="34"/>
    </row>
    <row r="28" spans="2:14" ht="18" customHeight="1" x14ac:dyDescent="0.3">
      <c r="B28" s="8"/>
      <c r="C28" s="41"/>
      <c r="D28" s="42"/>
      <c r="E28" s="41"/>
      <c r="F28" s="42"/>
      <c r="G28" s="41"/>
      <c r="H28" s="42"/>
      <c r="I28" s="41"/>
      <c r="J28" s="59"/>
      <c r="K28" s="43"/>
      <c r="L28" s="16"/>
      <c r="M28" s="35"/>
      <c r="N28" s="36"/>
    </row>
    <row r="29" spans="2:14" ht="18" customHeight="1" x14ac:dyDescent="0.3">
      <c r="B29" s="6"/>
      <c r="C29" s="39"/>
      <c r="D29" s="40"/>
      <c r="E29" s="39"/>
      <c r="F29" s="40"/>
      <c r="G29" s="39"/>
      <c r="H29" s="40"/>
      <c r="I29" s="39"/>
      <c r="J29" s="67"/>
      <c r="K29" s="44"/>
      <c r="L29" s="17"/>
      <c r="M29" s="31"/>
      <c r="N29" s="32"/>
    </row>
    <row r="30" spans="2:14" ht="18" customHeight="1" x14ac:dyDescent="0.3">
      <c r="B30" s="8"/>
      <c r="C30" s="41"/>
      <c r="D30" s="42"/>
      <c r="E30" s="41"/>
      <c r="F30" s="42"/>
      <c r="G30" s="41"/>
      <c r="H30" s="42"/>
      <c r="I30" s="68"/>
      <c r="J30" s="69"/>
      <c r="K30" s="44"/>
      <c r="L30" s="17"/>
      <c r="M30" s="31"/>
      <c r="N30" s="32"/>
    </row>
    <row r="31" spans="2:14" ht="18" customHeight="1" x14ac:dyDescent="0.3">
      <c r="B31" s="6"/>
      <c r="C31" s="39"/>
      <c r="D31" s="40"/>
      <c r="E31" s="39"/>
      <c r="F31" s="40"/>
      <c r="G31" s="39"/>
      <c r="H31" s="40"/>
      <c r="I31" s="39"/>
      <c r="J31" s="67"/>
      <c r="K31" s="14"/>
      <c r="L31" s="17"/>
      <c r="M31" s="31"/>
      <c r="N31" s="32"/>
    </row>
    <row r="32" spans="2:14" ht="18" customHeight="1" x14ac:dyDescent="0.3">
      <c r="B32" s="8"/>
      <c r="C32" s="41"/>
      <c r="D32" s="42"/>
      <c r="E32" s="41"/>
      <c r="F32" s="42"/>
      <c r="G32" s="41"/>
      <c r="H32" s="42"/>
      <c r="I32" s="62"/>
      <c r="J32" s="63"/>
      <c r="K32" s="14"/>
      <c r="L32" s="17"/>
      <c r="M32" s="31"/>
      <c r="N32" s="32"/>
    </row>
    <row r="33" spans="2:14" ht="18" customHeight="1" x14ac:dyDescent="0.35">
      <c r="B33" s="7"/>
      <c r="C33" s="55"/>
      <c r="D33" s="56"/>
      <c r="E33" s="55"/>
      <c r="F33" s="56"/>
      <c r="G33" s="55"/>
      <c r="H33" s="56"/>
      <c r="I33" s="70"/>
      <c r="J33" s="71"/>
      <c r="K33" s="15"/>
      <c r="L33" s="20"/>
      <c r="M33" s="77"/>
      <c r="N33" s="78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4:D24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M6:N6"/>
    <mergeCell ref="M7:N7"/>
    <mergeCell ref="M8:N8"/>
    <mergeCell ref="M9:N9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</mergeCells>
  <conditionalFormatting sqref="C4:H4">
    <cfRule type="expression" dxfId="31" priority="3" stopIfTrue="1">
      <formula>DAY(C4)&gt;8</formula>
    </cfRule>
  </conditionalFormatting>
  <conditionalFormatting sqref="C8:I10">
    <cfRule type="expression" dxfId="30" priority="2" stopIfTrue="1">
      <formula>AND(DAY(C8)&gt;=1,DAY(C8)&lt;=15)</formula>
    </cfRule>
  </conditionalFormatting>
  <conditionalFormatting sqref="C4:I9">
    <cfRule type="expression" dxfId="29" priority="4">
      <formula>VLOOKUP(DAY(C4),КоличествоДней,1,FALSE)=DAY(C4)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  <pageSetUpPr fitToPage="1"/>
  </sheetPr>
  <dimension ref="A1:O33"/>
  <sheetViews>
    <sheetView showGridLines="0" zoomScaleNormal="100" zoomScalePageLayoutView="84" workbookViewId="0">
      <selection activeCell="N2" sqref="N2:N3"/>
    </sheetView>
  </sheetViews>
  <sheetFormatPr defaultRowHeight="16.5" customHeight="1" x14ac:dyDescent="0.25"/>
  <cols>
    <col min="1" max="1" width="2.26953125" style="1" customWidth="1"/>
    <col min="2" max="2" width="17.54296875" style="1" customWidth="1"/>
    <col min="3" max="10" width="9.1796875" style="1" customWidth="1"/>
    <col min="11" max="11" width="7.26953125" style="1" customWidth="1"/>
    <col min="12" max="12" width="3.81640625" customWidth="1"/>
    <col min="13" max="13" width="51.453125" style="1" customWidth="1"/>
    <col min="14" max="14" width="10.7265625" style="1" customWidth="1"/>
    <col min="15" max="15" width="2.26953125" customWidth="1"/>
    <col min="16" max="16384" width="8.7265625" style="1"/>
  </cols>
  <sheetData>
    <row r="1" spans="1:14" ht="11.25" customHeight="1" x14ac:dyDescent="0.25"/>
    <row r="2" spans="1:14" ht="18" customHeight="1" x14ac:dyDescent="0.25">
      <c r="A2" s="4"/>
      <c r="B2" s="30"/>
      <c r="C2" s="21"/>
      <c r="D2" s="21"/>
      <c r="E2" s="21"/>
      <c r="F2" s="21"/>
      <c r="G2" s="21"/>
      <c r="H2" s="21"/>
      <c r="I2" s="21"/>
      <c r="J2" s="22"/>
      <c r="K2" s="48" t="s">
        <v>20</v>
      </c>
      <c r="L2" s="49">
        <v>2013</v>
      </c>
      <c r="M2" s="49"/>
      <c r="N2" s="79">
        <f>КалендарныйГод</f>
        <v>2020</v>
      </c>
    </row>
    <row r="3" spans="1:14" ht="21" customHeight="1" x14ac:dyDescent="0.25">
      <c r="A3" s="4"/>
      <c r="B3" s="72" t="s">
        <v>15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19</v>
      </c>
      <c r="J3" s="5"/>
      <c r="K3" s="50"/>
      <c r="L3" s="51"/>
      <c r="M3" s="51"/>
      <c r="N3" s="80"/>
    </row>
    <row r="4" spans="1:14" ht="18" customHeight="1" x14ac:dyDescent="0.3">
      <c r="A4" s="4"/>
      <c r="B4" s="72"/>
      <c r="C4" s="10">
        <f>IF(DAY(ИюнВс1)=1,ИюнВс1-6,ИюнВс1+1)</f>
        <v>43983</v>
      </c>
      <c r="D4" s="10">
        <f>IF(DAY(ИюнВс1)=1,ИюнВс1-5,ИюнВс1+2)</f>
        <v>43984</v>
      </c>
      <c r="E4" s="10">
        <f>IF(DAY(ИюнВс1)=1,ИюнВс1-4,ИюнВс1+3)</f>
        <v>43985</v>
      </c>
      <c r="F4" s="10">
        <f>IF(DAY(ИюнВс1)=1,ИюнВс1-3,ИюнВс1+4)</f>
        <v>43986</v>
      </c>
      <c r="G4" s="10">
        <f>IF(DAY(ИюнВс1)=1,ИюнВс1-2,ИюнВс1+5)</f>
        <v>43987</v>
      </c>
      <c r="H4" s="10">
        <f>IF(DAY(ИюнВс1)=1,ИюнВс1-1,ИюнВс1+6)</f>
        <v>43988</v>
      </c>
      <c r="I4" s="10">
        <f>IF(DAY(ИюнВс1)=1,ИюнВс1,ИюнВс1+7)</f>
        <v>43989</v>
      </c>
      <c r="J4" s="5"/>
      <c r="K4" s="52"/>
      <c r="L4" s="16"/>
      <c r="M4" s="53"/>
      <c r="N4" s="54"/>
    </row>
    <row r="5" spans="1:14" ht="18" customHeight="1" x14ac:dyDescent="0.3">
      <c r="A5" s="4"/>
      <c r="B5" s="28"/>
      <c r="C5" s="10">
        <f>IF(DAY(ИюнВс1)=1,ИюнВс1+1,ИюнВс1+8)</f>
        <v>43990</v>
      </c>
      <c r="D5" s="10">
        <f>IF(DAY(ИюнВс1)=1,ИюнВс1+2,ИюнВс1+9)</f>
        <v>43991</v>
      </c>
      <c r="E5" s="10">
        <f>IF(DAY(ИюнВс1)=1,ИюнВс1+3,ИюнВс1+10)</f>
        <v>43992</v>
      </c>
      <c r="F5" s="10">
        <f>IF(DAY(ИюнВс1)=1,ИюнВс1+4,ИюнВс1+11)</f>
        <v>43993</v>
      </c>
      <c r="G5" s="10">
        <f>IF(DAY(ИюнВс1)=1,ИюнВс1+5,ИюнВс1+12)</f>
        <v>43994</v>
      </c>
      <c r="H5" s="10">
        <f>IF(DAY(ИюнВс1)=1,ИюнВс1+6,ИюнВс1+13)</f>
        <v>43995</v>
      </c>
      <c r="I5" s="10">
        <f>IF(DAY(ИюнВс1)=1,ИюнВс1+7,ИюнВс1+14)</f>
        <v>43996</v>
      </c>
      <c r="J5" s="5"/>
      <c r="K5" s="44"/>
      <c r="L5" s="17"/>
      <c r="M5" s="31"/>
      <c r="N5" s="32"/>
    </row>
    <row r="6" spans="1:14" ht="18" customHeight="1" x14ac:dyDescent="0.3">
      <c r="A6" s="4"/>
      <c r="B6" s="28"/>
      <c r="C6" s="10">
        <f>IF(DAY(ИюнВс1)=1,ИюнВс1+8,ИюнВс1+15)</f>
        <v>43997</v>
      </c>
      <c r="D6" s="10">
        <f>IF(DAY(ИюнВс1)=1,ИюнВс1+9,ИюнВс1+16)</f>
        <v>43998</v>
      </c>
      <c r="E6" s="10">
        <f>IF(DAY(ИюнВс1)=1,ИюнВс1+10,ИюнВс1+17)</f>
        <v>43999</v>
      </c>
      <c r="F6" s="10">
        <f>IF(DAY(ИюнВс1)=1,ИюнВс1+11,ИюнВс1+18)</f>
        <v>44000</v>
      </c>
      <c r="G6" s="10">
        <f>IF(DAY(ИюнВс1)=1,ИюнВс1+12,ИюнВс1+19)</f>
        <v>44001</v>
      </c>
      <c r="H6" s="10">
        <f>IF(DAY(ИюнВс1)=1,ИюнВс1+13,ИюнВс1+20)</f>
        <v>44002</v>
      </c>
      <c r="I6" s="10">
        <f>IF(DAY(ИюнВс1)=1,ИюнВс1+14,ИюнВс1+21)</f>
        <v>44003</v>
      </c>
      <c r="J6" s="5"/>
      <c r="K6" s="44"/>
      <c r="L6" s="17"/>
      <c r="M6" s="31"/>
      <c r="N6" s="32"/>
    </row>
    <row r="7" spans="1:14" ht="18" customHeight="1" x14ac:dyDescent="0.3">
      <c r="A7" s="4"/>
      <c r="B7" s="28"/>
      <c r="C7" s="10">
        <f>IF(DAY(ИюнВс1)=1,ИюнВс1+15,ИюнВс1+22)</f>
        <v>44004</v>
      </c>
      <c r="D7" s="10">
        <f>IF(DAY(ИюнВс1)=1,ИюнВс1+16,ИюнВс1+23)</f>
        <v>44005</v>
      </c>
      <c r="E7" s="10">
        <f>IF(DAY(ИюнВс1)=1,ИюнВс1+17,ИюнВс1+24)</f>
        <v>44006</v>
      </c>
      <c r="F7" s="10">
        <f>IF(DAY(ИюнВс1)=1,ИюнВс1+18,ИюнВс1+25)</f>
        <v>44007</v>
      </c>
      <c r="G7" s="10">
        <f>IF(DAY(ИюнВс1)=1,ИюнВс1+19,ИюнВс1+26)</f>
        <v>44008</v>
      </c>
      <c r="H7" s="10">
        <f>IF(DAY(ИюнВс1)=1,ИюнВс1+20,ИюнВс1+27)</f>
        <v>44009</v>
      </c>
      <c r="I7" s="10">
        <f>IF(DAY(ИюнВс1)=1,ИюнВс1+21,ИюнВс1+28)</f>
        <v>44010</v>
      </c>
      <c r="J7" s="5"/>
      <c r="K7" s="11"/>
      <c r="L7" s="17"/>
      <c r="M7" s="31"/>
      <c r="N7" s="32"/>
    </row>
    <row r="8" spans="1:14" ht="18.75" customHeight="1" x14ac:dyDescent="0.3">
      <c r="A8" s="4"/>
      <c r="B8" s="28"/>
      <c r="C8" s="10">
        <f>IF(DAY(ИюнВс1)=1,ИюнВс1+22,ИюнВс1+29)</f>
        <v>44011</v>
      </c>
      <c r="D8" s="10">
        <f>IF(DAY(ИюнВс1)=1,ИюнВс1+23,ИюнВс1+30)</f>
        <v>44012</v>
      </c>
      <c r="E8" s="10">
        <f>IF(DAY(ИюнВс1)=1,ИюнВс1+24,ИюнВс1+31)</f>
        <v>44013</v>
      </c>
      <c r="F8" s="10">
        <f>IF(DAY(ИюнВс1)=1,ИюнВс1+25,ИюнВс1+32)</f>
        <v>44014</v>
      </c>
      <c r="G8" s="10">
        <f>IF(DAY(ИюнВс1)=1,ИюнВс1+26,ИюнВс1+33)</f>
        <v>44015</v>
      </c>
      <c r="H8" s="10">
        <f>IF(DAY(ИюнВс1)=1,ИюнВс1+27,ИюнВс1+34)</f>
        <v>44016</v>
      </c>
      <c r="I8" s="10">
        <f>IF(DAY(ИюнВс1)=1,ИюнВс1+28,ИюнВс1+35)</f>
        <v>44017</v>
      </c>
      <c r="J8" s="5"/>
      <c r="K8" s="11"/>
      <c r="L8" s="17"/>
      <c r="M8" s="31"/>
      <c r="N8" s="32"/>
    </row>
    <row r="9" spans="1:14" ht="18" customHeight="1" x14ac:dyDescent="0.3">
      <c r="A9" s="4"/>
      <c r="B9" s="28"/>
      <c r="C9" s="10">
        <f>IF(DAY(ИюнВс1)=1,ИюнВс1+29,ИюнВс1+36)</f>
        <v>44018</v>
      </c>
      <c r="D9" s="10">
        <f>IF(DAY(ИюнВс1)=1,ИюнВс1+30,ИюнВс1+37)</f>
        <v>44019</v>
      </c>
      <c r="E9" s="10">
        <f>IF(DAY(ИюнВс1)=1,ИюнВс1+31,ИюнВс1+38)</f>
        <v>44020</v>
      </c>
      <c r="F9" s="10">
        <f>IF(DAY(ИюнВс1)=1,ИюнВс1+32,ИюнВс1+39)</f>
        <v>44021</v>
      </c>
      <c r="G9" s="10">
        <f>IF(DAY(ИюнВс1)=1,ИюнВс1+33,ИюнВс1+40)</f>
        <v>44022</v>
      </c>
      <c r="H9" s="10">
        <f>IF(DAY(ИюнВс1)=1,ИюнВс1+34,ИюнВс1+41)</f>
        <v>44023</v>
      </c>
      <c r="I9" s="10">
        <f>IF(DAY(ИюнВс1)=1,ИюнВс1+35,ИюнВс1+42)</f>
        <v>44024</v>
      </c>
      <c r="J9" s="5"/>
      <c r="K9" s="12"/>
      <c r="L9" s="18"/>
      <c r="M9" s="33"/>
      <c r="N9" s="34"/>
    </row>
    <row r="10" spans="1:14" ht="18" customHeight="1" x14ac:dyDescent="0.3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43"/>
      <c r="L10" s="16"/>
      <c r="M10" s="35"/>
      <c r="N10" s="36"/>
    </row>
    <row r="11" spans="1:14" ht="18" customHeight="1" x14ac:dyDescent="0.3">
      <c r="A11" s="4"/>
      <c r="B11" s="74" t="s">
        <v>1</v>
      </c>
      <c r="C11" s="75"/>
      <c r="D11" s="75"/>
      <c r="E11" s="75"/>
      <c r="F11" s="75"/>
      <c r="G11" s="75"/>
      <c r="H11" s="75"/>
      <c r="I11" s="75"/>
      <c r="J11" s="76"/>
      <c r="K11" s="44"/>
      <c r="L11" s="17"/>
      <c r="M11" s="31"/>
      <c r="N11" s="32"/>
    </row>
    <row r="12" spans="1:14" ht="18" customHeight="1" x14ac:dyDescent="0.3">
      <c r="A12" s="4"/>
      <c r="B12" s="74"/>
      <c r="C12" s="75"/>
      <c r="D12" s="75"/>
      <c r="E12" s="75"/>
      <c r="F12" s="75"/>
      <c r="G12" s="75"/>
      <c r="H12" s="75"/>
      <c r="I12" s="75"/>
      <c r="J12" s="76"/>
      <c r="K12" s="44"/>
      <c r="L12" s="17"/>
      <c r="M12" s="31"/>
      <c r="N12" s="32"/>
    </row>
    <row r="13" spans="1:14" ht="18" customHeight="1" x14ac:dyDescent="0.3">
      <c r="B13" s="3" t="s">
        <v>2</v>
      </c>
      <c r="C13" s="45" t="s">
        <v>3</v>
      </c>
      <c r="D13" s="47"/>
      <c r="E13" s="45" t="s">
        <v>4</v>
      </c>
      <c r="F13" s="47"/>
      <c r="G13" s="45" t="s">
        <v>5</v>
      </c>
      <c r="H13" s="47"/>
      <c r="I13" s="45" t="s">
        <v>6</v>
      </c>
      <c r="J13" s="46"/>
      <c r="K13" s="11"/>
      <c r="L13" s="17"/>
      <c r="M13" s="31"/>
      <c r="N13" s="32"/>
    </row>
    <row r="14" spans="1:14" ht="18" customHeight="1" x14ac:dyDescent="0.3">
      <c r="B14" s="8"/>
      <c r="C14" s="41"/>
      <c r="D14" s="42"/>
      <c r="E14" s="41"/>
      <c r="F14" s="42"/>
      <c r="G14" s="41"/>
      <c r="H14" s="42"/>
      <c r="I14" s="41"/>
      <c r="J14" s="59"/>
      <c r="K14" s="11"/>
      <c r="L14" s="17"/>
      <c r="M14" s="31"/>
      <c r="N14" s="32"/>
    </row>
    <row r="15" spans="1:14" ht="18" customHeight="1" x14ac:dyDescent="0.3">
      <c r="B15" s="6"/>
      <c r="C15" s="39"/>
      <c r="D15" s="40"/>
      <c r="E15" s="39"/>
      <c r="F15" s="40"/>
      <c r="G15" s="39"/>
      <c r="H15" s="40"/>
      <c r="I15" s="60"/>
      <c r="J15" s="61"/>
      <c r="K15" s="13"/>
      <c r="L15" s="19"/>
      <c r="M15" s="33"/>
      <c r="N15" s="34"/>
    </row>
    <row r="16" spans="1:14" ht="18" customHeight="1" x14ac:dyDescent="0.3">
      <c r="B16" s="8"/>
      <c r="C16" s="41"/>
      <c r="D16" s="42"/>
      <c r="E16" s="41"/>
      <c r="F16" s="42"/>
      <c r="G16" s="41"/>
      <c r="H16" s="42"/>
      <c r="I16" s="62"/>
      <c r="J16" s="63"/>
      <c r="K16" s="43"/>
      <c r="L16" s="16"/>
      <c r="M16" s="35"/>
      <c r="N16" s="36"/>
    </row>
    <row r="17" spans="2:14" ht="18" customHeight="1" x14ac:dyDescent="0.3">
      <c r="B17" s="6"/>
      <c r="C17" s="39"/>
      <c r="D17" s="40"/>
      <c r="E17" s="39"/>
      <c r="F17" s="40"/>
      <c r="G17" s="39"/>
      <c r="H17" s="40"/>
      <c r="I17" s="60"/>
      <c r="J17" s="61"/>
      <c r="K17" s="44"/>
      <c r="L17" s="17"/>
      <c r="M17" s="31"/>
      <c r="N17" s="32"/>
    </row>
    <row r="18" spans="2:14" ht="18" customHeight="1" x14ac:dyDescent="0.3">
      <c r="B18" s="9"/>
      <c r="C18" s="57"/>
      <c r="D18" s="58"/>
      <c r="E18" s="57"/>
      <c r="F18" s="58"/>
      <c r="G18" s="57"/>
      <c r="H18" s="58"/>
      <c r="I18" s="57"/>
      <c r="J18" s="66"/>
      <c r="K18" s="44"/>
      <c r="L18" s="17"/>
      <c r="M18" s="31"/>
      <c r="N18" s="32"/>
    </row>
    <row r="19" spans="2:14" ht="18" customHeight="1" x14ac:dyDescent="0.3">
      <c r="B19" s="6"/>
      <c r="C19" s="39"/>
      <c r="D19" s="40"/>
      <c r="E19" s="39"/>
      <c r="F19" s="40"/>
      <c r="G19" s="39"/>
      <c r="H19" s="40"/>
      <c r="I19" s="60"/>
      <c r="J19" s="61"/>
      <c r="K19" s="11"/>
      <c r="L19" s="17"/>
      <c r="M19" s="31"/>
      <c r="N19" s="32"/>
    </row>
    <row r="20" spans="2:14" ht="18" customHeight="1" x14ac:dyDescent="0.3">
      <c r="B20" s="8"/>
      <c r="C20" s="41"/>
      <c r="D20" s="42"/>
      <c r="E20" s="41"/>
      <c r="F20" s="42"/>
      <c r="G20" s="41"/>
      <c r="H20" s="42"/>
      <c r="I20" s="41"/>
      <c r="J20" s="59"/>
      <c r="K20" s="11"/>
      <c r="L20" s="17"/>
      <c r="M20" s="31"/>
      <c r="N20" s="32"/>
    </row>
    <row r="21" spans="2:14" ht="18" customHeight="1" x14ac:dyDescent="0.3">
      <c r="B21" s="6"/>
      <c r="C21" s="39"/>
      <c r="D21" s="40"/>
      <c r="E21" s="39"/>
      <c r="F21" s="40"/>
      <c r="G21" s="39"/>
      <c r="H21" s="40"/>
      <c r="I21" s="64"/>
      <c r="J21" s="65"/>
      <c r="K21" s="13"/>
      <c r="L21" s="19"/>
      <c r="M21" s="33"/>
      <c r="N21" s="34"/>
    </row>
    <row r="22" spans="2:14" ht="18" customHeight="1" x14ac:dyDescent="0.3">
      <c r="B22" s="8"/>
      <c r="C22" s="41"/>
      <c r="D22" s="42"/>
      <c r="E22" s="41"/>
      <c r="F22" s="42"/>
      <c r="G22" s="41"/>
      <c r="H22" s="42"/>
      <c r="I22" s="41"/>
      <c r="J22" s="59"/>
      <c r="K22" s="43"/>
      <c r="L22" s="16"/>
      <c r="M22" s="35"/>
      <c r="N22" s="36"/>
    </row>
    <row r="23" spans="2:14" ht="18" customHeight="1" x14ac:dyDescent="0.3">
      <c r="B23" s="6"/>
      <c r="C23" s="39"/>
      <c r="D23" s="40"/>
      <c r="E23" s="39"/>
      <c r="F23" s="40"/>
      <c r="G23" s="39"/>
      <c r="H23" s="40"/>
      <c r="I23" s="60"/>
      <c r="J23" s="61"/>
      <c r="K23" s="44"/>
      <c r="L23" s="17"/>
      <c r="M23" s="31"/>
      <c r="N23" s="32"/>
    </row>
    <row r="24" spans="2:14" ht="18" customHeight="1" x14ac:dyDescent="0.3">
      <c r="B24" s="8"/>
      <c r="C24" s="41"/>
      <c r="D24" s="42"/>
      <c r="E24" s="41"/>
      <c r="F24" s="42"/>
      <c r="G24" s="41"/>
      <c r="H24" s="42"/>
      <c r="I24" s="41"/>
      <c r="J24" s="59"/>
      <c r="K24" s="44"/>
      <c r="L24" s="17"/>
      <c r="M24" s="31"/>
      <c r="N24" s="32"/>
    </row>
    <row r="25" spans="2:14" ht="18" customHeight="1" x14ac:dyDescent="0.3">
      <c r="B25" s="6"/>
      <c r="C25" s="39"/>
      <c r="D25" s="40"/>
      <c r="E25" s="39"/>
      <c r="F25" s="40"/>
      <c r="G25" s="39"/>
      <c r="H25" s="40"/>
      <c r="I25" s="60"/>
      <c r="J25" s="61"/>
      <c r="K25" s="44"/>
      <c r="L25" s="17"/>
      <c r="M25" s="31"/>
      <c r="N25" s="32"/>
    </row>
    <row r="26" spans="2:14" ht="18" customHeight="1" x14ac:dyDescent="0.3">
      <c r="B26" s="8"/>
      <c r="C26" s="41"/>
      <c r="D26" s="42"/>
      <c r="E26" s="41"/>
      <c r="F26" s="42"/>
      <c r="G26" s="41"/>
      <c r="H26" s="42"/>
      <c r="I26" s="41"/>
      <c r="J26" s="59"/>
      <c r="K26" s="11"/>
      <c r="L26" s="17"/>
      <c r="M26" s="31"/>
      <c r="N26" s="32"/>
    </row>
    <row r="27" spans="2:14" ht="18" customHeight="1" x14ac:dyDescent="0.3">
      <c r="B27" s="6"/>
      <c r="C27" s="39"/>
      <c r="D27" s="40"/>
      <c r="E27" s="39"/>
      <c r="F27" s="40"/>
      <c r="G27" s="39"/>
      <c r="H27" s="40"/>
      <c r="I27" s="60"/>
      <c r="J27" s="61"/>
      <c r="K27" s="13"/>
      <c r="L27" s="19"/>
      <c r="M27" s="33"/>
      <c r="N27" s="34"/>
    </row>
    <row r="28" spans="2:14" ht="18" customHeight="1" x14ac:dyDescent="0.3">
      <c r="B28" s="8"/>
      <c r="C28" s="41"/>
      <c r="D28" s="42"/>
      <c r="E28" s="41"/>
      <c r="F28" s="42"/>
      <c r="G28" s="41"/>
      <c r="H28" s="42"/>
      <c r="I28" s="41"/>
      <c r="J28" s="59"/>
      <c r="K28" s="43"/>
      <c r="L28" s="16"/>
      <c r="M28" s="35"/>
      <c r="N28" s="36"/>
    </row>
    <row r="29" spans="2:14" ht="18" customHeight="1" x14ac:dyDescent="0.3">
      <c r="B29" s="6"/>
      <c r="C29" s="39"/>
      <c r="D29" s="40"/>
      <c r="E29" s="39"/>
      <c r="F29" s="40"/>
      <c r="G29" s="39"/>
      <c r="H29" s="40"/>
      <c r="I29" s="39"/>
      <c r="J29" s="67"/>
      <c r="K29" s="44"/>
      <c r="L29" s="17"/>
      <c r="M29" s="31"/>
      <c r="N29" s="32"/>
    </row>
    <row r="30" spans="2:14" ht="18" customHeight="1" x14ac:dyDescent="0.3">
      <c r="B30" s="8"/>
      <c r="C30" s="41"/>
      <c r="D30" s="42"/>
      <c r="E30" s="41"/>
      <c r="F30" s="42"/>
      <c r="G30" s="41"/>
      <c r="H30" s="42"/>
      <c r="I30" s="68"/>
      <c r="J30" s="69"/>
      <c r="K30" s="44"/>
      <c r="L30" s="17"/>
      <c r="M30" s="31"/>
      <c r="N30" s="32"/>
    </row>
    <row r="31" spans="2:14" ht="18" customHeight="1" x14ac:dyDescent="0.3">
      <c r="B31" s="6"/>
      <c r="C31" s="39"/>
      <c r="D31" s="40"/>
      <c r="E31" s="39"/>
      <c r="F31" s="40"/>
      <c r="G31" s="39"/>
      <c r="H31" s="40"/>
      <c r="I31" s="39"/>
      <c r="J31" s="67"/>
      <c r="K31" s="14"/>
      <c r="L31" s="17"/>
      <c r="M31" s="31"/>
      <c r="N31" s="32"/>
    </row>
    <row r="32" spans="2:14" ht="18" customHeight="1" x14ac:dyDescent="0.3">
      <c r="B32" s="8"/>
      <c r="C32" s="41"/>
      <c r="D32" s="42"/>
      <c r="E32" s="41"/>
      <c r="F32" s="42"/>
      <c r="G32" s="41"/>
      <c r="H32" s="42"/>
      <c r="I32" s="62"/>
      <c r="J32" s="63"/>
      <c r="K32" s="14"/>
      <c r="L32" s="17"/>
      <c r="M32" s="31"/>
      <c r="N32" s="32"/>
    </row>
    <row r="33" spans="2:14" ht="18" customHeight="1" x14ac:dyDescent="0.35">
      <c r="B33" s="7"/>
      <c r="C33" s="55"/>
      <c r="D33" s="56"/>
      <c r="E33" s="55"/>
      <c r="F33" s="56"/>
      <c r="G33" s="55"/>
      <c r="H33" s="56"/>
      <c r="I33" s="70"/>
      <c r="J33" s="71"/>
      <c r="K33" s="15"/>
      <c r="L33" s="20"/>
      <c r="M33" s="77"/>
      <c r="N33" s="78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4:D24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M6:N6"/>
    <mergeCell ref="M7:N7"/>
    <mergeCell ref="M8:N8"/>
    <mergeCell ref="M9:N9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</mergeCells>
  <conditionalFormatting sqref="C4:H4">
    <cfRule type="expression" dxfId="27" priority="3" stopIfTrue="1">
      <formula>DAY(C4)&gt;8</formula>
    </cfRule>
  </conditionalFormatting>
  <conditionalFormatting sqref="C8:I10">
    <cfRule type="expression" dxfId="26" priority="2" stopIfTrue="1">
      <formula>AND(DAY(C8)&gt;=1,DAY(C8)&lt;=15)</formula>
    </cfRule>
  </conditionalFormatting>
  <conditionalFormatting sqref="C4:I9">
    <cfRule type="expression" dxfId="25" priority="4">
      <formula>VLOOKUP(DAY(C4),КоличествоДней,1,FALSE)=DAY(C4)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  <pageSetUpPr fitToPage="1"/>
  </sheetPr>
  <dimension ref="A1:O33"/>
  <sheetViews>
    <sheetView showGridLines="0" zoomScaleNormal="100" zoomScalePageLayoutView="84" workbookViewId="0">
      <selection activeCell="N2" sqref="N2:N3"/>
    </sheetView>
  </sheetViews>
  <sheetFormatPr defaultRowHeight="16.5" customHeight="1" x14ac:dyDescent="0.25"/>
  <cols>
    <col min="1" max="1" width="2.26953125" style="1" customWidth="1"/>
    <col min="2" max="2" width="17.54296875" style="1" customWidth="1"/>
    <col min="3" max="10" width="9.1796875" style="1" customWidth="1"/>
    <col min="11" max="11" width="7.26953125" style="1" customWidth="1"/>
    <col min="12" max="12" width="3.81640625" customWidth="1"/>
    <col min="13" max="13" width="51.453125" style="1" customWidth="1"/>
    <col min="14" max="14" width="10.7265625" style="1" customWidth="1"/>
    <col min="15" max="15" width="2.26953125" customWidth="1"/>
    <col min="16" max="16384" width="8.7265625" style="1"/>
  </cols>
  <sheetData>
    <row r="1" spans="1:14" ht="11.25" customHeight="1" x14ac:dyDescent="0.25"/>
    <row r="2" spans="1:14" ht="18" customHeight="1" x14ac:dyDescent="0.25">
      <c r="A2" s="4"/>
      <c r="B2" s="30"/>
      <c r="C2" s="21"/>
      <c r="D2" s="21"/>
      <c r="E2" s="21"/>
      <c r="F2" s="21"/>
      <c r="G2" s="21"/>
      <c r="H2" s="21"/>
      <c r="I2" s="21"/>
      <c r="J2" s="22"/>
      <c r="K2" s="48" t="s">
        <v>20</v>
      </c>
      <c r="L2" s="49">
        <v>2013</v>
      </c>
      <c r="M2" s="49"/>
      <c r="N2" s="79">
        <f>КалендарныйГод</f>
        <v>2020</v>
      </c>
    </row>
    <row r="3" spans="1:14" ht="21" customHeight="1" x14ac:dyDescent="0.25">
      <c r="A3" s="4"/>
      <c r="B3" s="72" t="s">
        <v>16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19</v>
      </c>
      <c r="J3" s="5"/>
      <c r="K3" s="50"/>
      <c r="L3" s="51"/>
      <c r="M3" s="51"/>
      <c r="N3" s="80"/>
    </row>
    <row r="4" spans="1:14" ht="18" customHeight="1" x14ac:dyDescent="0.3">
      <c r="A4" s="4"/>
      <c r="B4" s="72"/>
      <c r="C4" s="10">
        <f>IF(DAY(ИюлВс1)=1,ИюлВс1-6,ИюлВс1+1)</f>
        <v>44011</v>
      </c>
      <c r="D4" s="10">
        <f>IF(DAY(ИюлВс1)=1,ИюлВс1-5,ИюлВс1+2)</f>
        <v>44012</v>
      </c>
      <c r="E4" s="10">
        <f>IF(DAY(ИюлВс1)=1,ИюлВс1-4,ИюлВс1+3)</f>
        <v>44013</v>
      </c>
      <c r="F4" s="10">
        <f>IF(DAY(ИюлВс1)=1,ИюлВс1-3,ИюлВс1+4)</f>
        <v>44014</v>
      </c>
      <c r="G4" s="10">
        <f>IF(DAY(ИюлВс1)=1,ИюлВс1-2,ИюлВс1+5)</f>
        <v>44015</v>
      </c>
      <c r="H4" s="10">
        <f>IF(DAY(ИюлВс1)=1,ИюлВс1-1,ИюлВс1+6)</f>
        <v>44016</v>
      </c>
      <c r="I4" s="10">
        <f>IF(DAY(ИюлВс1)=1,ИюлВс1,ИюлВс1+7)</f>
        <v>44017</v>
      </c>
      <c r="J4" s="5"/>
      <c r="K4" s="52"/>
      <c r="L4" s="16"/>
      <c r="M4" s="53"/>
      <c r="N4" s="54"/>
    </row>
    <row r="5" spans="1:14" ht="18" customHeight="1" x14ac:dyDescent="0.3">
      <c r="A5" s="4"/>
      <c r="B5" s="28"/>
      <c r="C5" s="10">
        <f>IF(DAY(ИюлВс1)=1,ИюлВс1+1,ИюлВс1+8)</f>
        <v>44018</v>
      </c>
      <c r="D5" s="10">
        <f>IF(DAY(ИюлВс1)=1,ИюлВс1+2,ИюлВс1+9)</f>
        <v>44019</v>
      </c>
      <c r="E5" s="10">
        <f>IF(DAY(ИюлВс1)=1,ИюлВс1+3,ИюлВс1+10)</f>
        <v>44020</v>
      </c>
      <c r="F5" s="10">
        <f>IF(DAY(ИюлВс1)=1,ИюлВс1+4,ИюлВс1+11)</f>
        <v>44021</v>
      </c>
      <c r="G5" s="10">
        <f>IF(DAY(ИюлВс1)=1,ИюлВс1+5,ИюлВс1+12)</f>
        <v>44022</v>
      </c>
      <c r="H5" s="10">
        <f>IF(DAY(ИюлВс1)=1,ИюлВс1+6,ИюлВс1+13)</f>
        <v>44023</v>
      </c>
      <c r="I5" s="10">
        <f>IF(DAY(ИюлВс1)=1,ИюлВс1+7,ИюлВс1+14)</f>
        <v>44024</v>
      </c>
      <c r="J5" s="5"/>
      <c r="K5" s="44"/>
      <c r="L5" s="17"/>
      <c r="M5" s="31"/>
      <c r="N5" s="32"/>
    </row>
    <row r="6" spans="1:14" ht="18" customHeight="1" x14ac:dyDescent="0.3">
      <c r="A6" s="4"/>
      <c r="B6" s="28"/>
      <c r="C6" s="10">
        <f>IF(DAY(ИюлВс1)=1,ИюлВс1+8,ИюлВс1+15)</f>
        <v>44025</v>
      </c>
      <c r="D6" s="10">
        <f>IF(DAY(ИюлВс1)=1,ИюлВс1+9,ИюлВс1+16)</f>
        <v>44026</v>
      </c>
      <c r="E6" s="10">
        <f>IF(DAY(ИюлВс1)=1,ИюлВс1+10,ИюлВс1+17)</f>
        <v>44027</v>
      </c>
      <c r="F6" s="10">
        <f>IF(DAY(ИюлВс1)=1,ИюлВс1+11,ИюлВс1+18)</f>
        <v>44028</v>
      </c>
      <c r="G6" s="10">
        <f>IF(DAY(ИюлВс1)=1,ИюлВс1+12,ИюлВс1+19)</f>
        <v>44029</v>
      </c>
      <c r="H6" s="10">
        <f>IF(DAY(ИюлВс1)=1,ИюлВс1+13,ИюлВс1+20)</f>
        <v>44030</v>
      </c>
      <c r="I6" s="10">
        <f>IF(DAY(ИюлВс1)=1,ИюлВс1+14,ИюлВс1+21)</f>
        <v>44031</v>
      </c>
      <c r="J6" s="5"/>
      <c r="K6" s="44"/>
      <c r="L6" s="17"/>
      <c r="M6" s="31"/>
      <c r="N6" s="32"/>
    </row>
    <row r="7" spans="1:14" ht="18" customHeight="1" x14ac:dyDescent="0.3">
      <c r="A7" s="4"/>
      <c r="B7" s="28"/>
      <c r="C7" s="10">
        <f>IF(DAY(ИюлВс1)=1,ИюлВс1+15,ИюлВс1+22)</f>
        <v>44032</v>
      </c>
      <c r="D7" s="10">
        <f>IF(DAY(ИюлВс1)=1,ИюлВс1+16,ИюлВс1+23)</f>
        <v>44033</v>
      </c>
      <c r="E7" s="10">
        <f>IF(DAY(ИюлВс1)=1,ИюлВс1+17,ИюлВс1+24)</f>
        <v>44034</v>
      </c>
      <c r="F7" s="10">
        <f>IF(DAY(ИюлВс1)=1,ИюлВс1+18,ИюлВс1+25)</f>
        <v>44035</v>
      </c>
      <c r="G7" s="10">
        <f>IF(DAY(ИюлВс1)=1,ИюлВс1+19,ИюлВс1+26)</f>
        <v>44036</v>
      </c>
      <c r="H7" s="10">
        <f>IF(DAY(ИюлВс1)=1,ИюлВс1+20,ИюлВс1+27)</f>
        <v>44037</v>
      </c>
      <c r="I7" s="10">
        <f>IF(DAY(ИюлВс1)=1,ИюлВс1+21,ИюлВс1+28)</f>
        <v>44038</v>
      </c>
      <c r="J7" s="5"/>
      <c r="K7" s="11"/>
      <c r="L7" s="17"/>
      <c r="M7" s="31"/>
      <c r="N7" s="32"/>
    </row>
    <row r="8" spans="1:14" ht="18.75" customHeight="1" x14ac:dyDescent="0.3">
      <c r="A8" s="4"/>
      <c r="B8" s="28"/>
      <c r="C8" s="10">
        <f>IF(DAY(ИюлВс1)=1,ИюлВс1+22,ИюлВс1+29)</f>
        <v>44039</v>
      </c>
      <c r="D8" s="10">
        <f>IF(DAY(ИюлВс1)=1,ИюлВс1+23,ИюлВс1+30)</f>
        <v>44040</v>
      </c>
      <c r="E8" s="10">
        <f>IF(DAY(ИюлВс1)=1,ИюлВс1+24,ИюлВс1+31)</f>
        <v>44041</v>
      </c>
      <c r="F8" s="10">
        <f>IF(DAY(ИюлВс1)=1,ИюлВс1+25,ИюлВс1+32)</f>
        <v>44042</v>
      </c>
      <c r="G8" s="10">
        <f>IF(DAY(ИюлВс1)=1,ИюлВс1+26,ИюлВс1+33)</f>
        <v>44043</v>
      </c>
      <c r="H8" s="10">
        <f>IF(DAY(ИюлВс1)=1,ИюлВс1+27,ИюлВс1+34)</f>
        <v>44044</v>
      </c>
      <c r="I8" s="10">
        <f>IF(DAY(ИюлВс1)=1,ИюлВс1+28,ИюлВс1+35)</f>
        <v>44045</v>
      </c>
      <c r="J8" s="5"/>
      <c r="K8" s="11"/>
      <c r="L8" s="17"/>
      <c r="M8" s="31"/>
      <c r="N8" s="32"/>
    </row>
    <row r="9" spans="1:14" ht="18" customHeight="1" x14ac:dyDescent="0.3">
      <c r="A9" s="4"/>
      <c r="B9" s="28"/>
      <c r="C9" s="10">
        <f>IF(DAY(ИюлВс1)=1,ИюлВс1+29,ИюлВс1+36)</f>
        <v>44046</v>
      </c>
      <c r="D9" s="10">
        <f>IF(DAY(ИюлВс1)=1,ИюлВс1+30,ИюлВс1+37)</f>
        <v>44047</v>
      </c>
      <c r="E9" s="10">
        <f>IF(DAY(ИюлВс1)=1,ИюлВс1+31,ИюлВс1+38)</f>
        <v>44048</v>
      </c>
      <c r="F9" s="10">
        <f>IF(DAY(ИюлВс1)=1,ИюлВс1+32,ИюлВс1+39)</f>
        <v>44049</v>
      </c>
      <c r="G9" s="10">
        <f>IF(DAY(ИюлВс1)=1,ИюлВс1+33,ИюлВс1+40)</f>
        <v>44050</v>
      </c>
      <c r="H9" s="10">
        <f>IF(DAY(ИюлВс1)=1,ИюлВс1+34,ИюлВс1+41)</f>
        <v>44051</v>
      </c>
      <c r="I9" s="10">
        <f>IF(DAY(ИюлВс1)=1,ИюлВс1+35,ИюлВс1+42)</f>
        <v>44052</v>
      </c>
      <c r="J9" s="5"/>
      <c r="K9" s="12"/>
      <c r="L9" s="18"/>
      <c r="M9" s="33"/>
      <c r="N9" s="34"/>
    </row>
    <row r="10" spans="1:14" ht="18" customHeight="1" x14ac:dyDescent="0.3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43"/>
      <c r="L10" s="16"/>
      <c r="M10" s="35"/>
      <c r="N10" s="36"/>
    </row>
    <row r="11" spans="1:14" ht="18" customHeight="1" x14ac:dyDescent="0.3">
      <c r="A11" s="4"/>
      <c r="B11" s="74" t="s">
        <v>1</v>
      </c>
      <c r="C11" s="75"/>
      <c r="D11" s="75"/>
      <c r="E11" s="75"/>
      <c r="F11" s="75"/>
      <c r="G11" s="75"/>
      <c r="H11" s="75"/>
      <c r="I11" s="75"/>
      <c r="J11" s="76"/>
      <c r="K11" s="44"/>
      <c r="L11" s="17"/>
      <c r="M11" s="31"/>
      <c r="N11" s="32"/>
    </row>
    <row r="12" spans="1:14" ht="18" customHeight="1" x14ac:dyDescent="0.3">
      <c r="A12" s="4"/>
      <c r="B12" s="74"/>
      <c r="C12" s="75"/>
      <c r="D12" s="75"/>
      <c r="E12" s="75"/>
      <c r="F12" s="75"/>
      <c r="G12" s="75"/>
      <c r="H12" s="75"/>
      <c r="I12" s="75"/>
      <c r="J12" s="76"/>
      <c r="K12" s="44"/>
      <c r="L12" s="17"/>
      <c r="M12" s="31"/>
      <c r="N12" s="32"/>
    </row>
    <row r="13" spans="1:14" ht="18" customHeight="1" x14ac:dyDescent="0.3">
      <c r="B13" s="3" t="s">
        <v>2</v>
      </c>
      <c r="C13" s="45" t="s">
        <v>3</v>
      </c>
      <c r="D13" s="47"/>
      <c r="E13" s="45" t="s">
        <v>4</v>
      </c>
      <c r="F13" s="47"/>
      <c r="G13" s="45" t="s">
        <v>5</v>
      </c>
      <c r="H13" s="47"/>
      <c r="I13" s="45" t="s">
        <v>6</v>
      </c>
      <c r="J13" s="46"/>
      <c r="K13" s="11"/>
      <c r="L13" s="17"/>
      <c r="M13" s="31"/>
      <c r="N13" s="32"/>
    </row>
    <row r="14" spans="1:14" ht="18" customHeight="1" x14ac:dyDescent="0.3">
      <c r="B14" s="8"/>
      <c r="C14" s="41"/>
      <c r="D14" s="42"/>
      <c r="E14" s="41"/>
      <c r="F14" s="42"/>
      <c r="G14" s="41"/>
      <c r="H14" s="42"/>
      <c r="I14" s="41"/>
      <c r="J14" s="59"/>
      <c r="K14" s="11"/>
      <c r="L14" s="17"/>
      <c r="M14" s="31"/>
      <c r="N14" s="32"/>
    </row>
    <row r="15" spans="1:14" ht="18" customHeight="1" x14ac:dyDescent="0.3">
      <c r="B15" s="6"/>
      <c r="C15" s="39"/>
      <c r="D15" s="40"/>
      <c r="E15" s="39"/>
      <c r="F15" s="40"/>
      <c r="G15" s="39"/>
      <c r="H15" s="40"/>
      <c r="I15" s="60"/>
      <c r="J15" s="61"/>
      <c r="K15" s="13"/>
      <c r="L15" s="19"/>
      <c r="M15" s="33"/>
      <c r="N15" s="34"/>
    </row>
    <row r="16" spans="1:14" ht="18" customHeight="1" x14ac:dyDescent="0.3">
      <c r="B16" s="8"/>
      <c r="C16" s="41"/>
      <c r="D16" s="42"/>
      <c r="E16" s="41"/>
      <c r="F16" s="42"/>
      <c r="G16" s="41"/>
      <c r="H16" s="42"/>
      <c r="I16" s="62"/>
      <c r="J16" s="63"/>
      <c r="K16" s="43"/>
      <c r="L16" s="16"/>
      <c r="M16" s="35"/>
      <c r="N16" s="36"/>
    </row>
    <row r="17" spans="2:14" ht="18" customHeight="1" x14ac:dyDescent="0.3">
      <c r="B17" s="6"/>
      <c r="C17" s="39"/>
      <c r="D17" s="40"/>
      <c r="E17" s="39"/>
      <c r="F17" s="40"/>
      <c r="G17" s="39"/>
      <c r="H17" s="40"/>
      <c r="I17" s="60"/>
      <c r="J17" s="61"/>
      <c r="K17" s="44"/>
      <c r="L17" s="17"/>
      <c r="M17" s="31"/>
      <c r="N17" s="32"/>
    </row>
    <row r="18" spans="2:14" ht="18" customHeight="1" x14ac:dyDescent="0.3">
      <c r="B18" s="9"/>
      <c r="C18" s="57"/>
      <c r="D18" s="58"/>
      <c r="E18" s="57"/>
      <c r="F18" s="58"/>
      <c r="G18" s="57"/>
      <c r="H18" s="58"/>
      <c r="I18" s="57"/>
      <c r="J18" s="66"/>
      <c r="K18" s="44"/>
      <c r="L18" s="17"/>
      <c r="M18" s="31"/>
      <c r="N18" s="32"/>
    </row>
    <row r="19" spans="2:14" ht="18" customHeight="1" x14ac:dyDescent="0.3">
      <c r="B19" s="6"/>
      <c r="C19" s="39"/>
      <c r="D19" s="40"/>
      <c r="E19" s="39"/>
      <c r="F19" s="40"/>
      <c r="G19" s="39"/>
      <c r="H19" s="40"/>
      <c r="I19" s="60"/>
      <c r="J19" s="61"/>
      <c r="K19" s="11"/>
      <c r="L19" s="17"/>
      <c r="M19" s="31"/>
      <c r="N19" s="32"/>
    </row>
    <row r="20" spans="2:14" ht="18" customHeight="1" x14ac:dyDescent="0.3">
      <c r="B20" s="8"/>
      <c r="C20" s="41"/>
      <c r="D20" s="42"/>
      <c r="E20" s="41"/>
      <c r="F20" s="42"/>
      <c r="G20" s="41"/>
      <c r="H20" s="42"/>
      <c r="I20" s="41"/>
      <c r="J20" s="59"/>
      <c r="K20" s="11"/>
      <c r="L20" s="17"/>
      <c r="M20" s="31"/>
      <c r="N20" s="32"/>
    </row>
    <row r="21" spans="2:14" ht="18" customHeight="1" x14ac:dyDescent="0.3">
      <c r="B21" s="6"/>
      <c r="C21" s="39"/>
      <c r="D21" s="40"/>
      <c r="E21" s="39"/>
      <c r="F21" s="40"/>
      <c r="G21" s="39"/>
      <c r="H21" s="40"/>
      <c r="I21" s="64"/>
      <c r="J21" s="65"/>
      <c r="K21" s="13"/>
      <c r="L21" s="19"/>
      <c r="M21" s="33"/>
      <c r="N21" s="34"/>
    </row>
    <row r="22" spans="2:14" ht="18" customHeight="1" x14ac:dyDescent="0.3">
      <c r="B22" s="8"/>
      <c r="C22" s="41"/>
      <c r="D22" s="42"/>
      <c r="E22" s="41"/>
      <c r="F22" s="42"/>
      <c r="G22" s="41"/>
      <c r="H22" s="42"/>
      <c r="I22" s="41"/>
      <c r="J22" s="59"/>
      <c r="K22" s="43"/>
      <c r="L22" s="16"/>
      <c r="M22" s="35"/>
      <c r="N22" s="36"/>
    </row>
    <row r="23" spans="2:14" ht="18" customHeight="1" x14ac:dyDescent="0.3">
      <c r="B23" s="6"/>
      <c r="C23" s="39"/>
      <c r="D23" s="40"/>
      <c r="E23" s="39"/>
      <c r="F23" s="40"/>
      <c r="G23" s="39"/>
      <c r="H23" s="40"/>
      <c r="I23" s="60"/>
      <c r="J23" s="61"/>
      <c r="K23" s="44"/>
      <c r="L23" s="17"/>
      <c r="M23" s="31"/>
      <c r="N23" s="32"/>
    </row>
    <row r="24" spans="2:14" ht="18" customHeight="1" x14ac:dyDescent="0.3">
      <c r="B24" s="8"/>
      <c r="C24" s="41"/>
      <c r="D24" s="42"/>
      <c r="E24" s="41"/>
      <c r="F24" s="42"/>
      <c r="G24" s="41"/>
      <c r="H24" s="42"/>
      <c r="I24" s="41"/>
      <c r="J24" s="59"/>
      <c r="K24" s="44"/>
      <c r="L24" s="17"/>
      <c r="M24" s="31"/>
      <c r="N24" s="32"/>
    </row>
    <row r="25" spans="2:14" ht="18" customHeight="1" x14ac:dyDescent="0.3">
      <c r="B25" s="6"/>
      <c r="C25" s="39"/>
      <c r="D25" s="40"/>
      <c r="E25" s="39"/>
      <c r="F25" s="40"/>
      <c r="G25" s="39"/>
      <c r="H25" s="40"/>
      <c r="I25" s="60"/>
      <c r="J25" s="61"/>
      <c r="K25" s="44"/>
      <c r="L25" s="17"/>
      <c r="M25" s="31"/>
      <c r="N25" s="32"/>
    </row>
    <row r="26" spans="2:14" ht="18" customHeight="1" x14ac:dyDescent="0.3">
      <c r="B26" s="8"/>
      <c r="C26" s="41"/>
      <c r="D26" s="42"/>
      <c r="E26" s="41"/>
      <c r="F26" s="42"/>
      <c r="G26" s="41"/>
      <c r="H26" s="42"/>
      <c r="I26" s="41"/>
      <c r="J26" s="59"/>
      <c r="K26" s="11"/>
      <c r="L26" s="17"/>
      <c r="M26" s="31"/>
      <c r="N26" s="32"/>
    </row>
    <row r="27" spans="2:14" ht="18" customHeight="1" x14ac:dyDescent="0.3">
      <c r="B27" s="6"/>
      <c r="C27" s="39"/>
      <c r="D27" s="40"/>
      <c r="E27" s="39"/>
      <c r="F27" s="40"/>
      <c r="G27" s="39"/>
      <c r="H27" s="40"/>
      <c r="I27" s="60"/>
      <c r="J27" s="61"/>
      <c r="K27" s="13"/>
      <c r="L27" s="19"/>
      <c r="M27" s="33"/>
      <c r="N27" s="34"/>
    </row>
    <row r="28" spans="2:14" ht="18" customHeight="1" x14ac:dyDescent="0.3">
      <c r="B28" s="8"/>
      <c r="C28" s="41"/>
      <c r="D28" s="42"/>
      <c r="E28" s="41"/>
      <c r="F28" s="42"/>
      <c r="G28" s="41"/>
      <c r="H28" s="42"/>
      <c r="I28" s="41"/>
      <c r="J28" s="59"/>
      <c r="K28" s="43"/>
      <c r="L28" s="16"/>
      <c r="M28" s="35"/>
      <c r="N28" s="36"/>
    </row>
    <row r="29" spans="2:14" ht="18" customHeight="1" x14ac:dyDescent="0.3">
      <c r="B29" s="6"/>
      <c r="C29" s="39"/>
      <c r="D29" s="40"/>
      <c r="E29" s="39"/>
      <c r="F29" s="40"/>
      <c r="G29" s="39"/>
      <c r="H29" s="40"/>
      <c r="I29" s="39"/>
      <c r="J29" s="67"/>
      <c r="K29" s="44"/>
      <c r="L29" s="17"/>
      <c r="M29" s="31"/>
      <c r="N29" s="32"/>
    </row>
    <row r="30" spans="2:14" ht="18" customHeight="1" x14ac:dyDescent="0.3">
      <c r="B30" s="8"/>
      <c r="C30" s="41"/>
      <c r="D30" s="42"/>
      <c r="E30" s="41"/>
      <c r="F30" s="42"/>
      <c r="G30" s="41"/>
      <c r="H30" s="42"/>
      <c r="I30" s="68"/>
      <c r="J30" s="69"/>
      <c r="K30" s="44"/>
      <c r="L30" s="17"/>
      <c r="M30" s="31"/>
      <c r="N30" s="32"/>
    </row>
    <row r="31" spans="2:14" ht="18" customHeight="1" x14ac:dyDescent="0.3">
      <c r="B31" s="6"/>
      <c r="C31" s="39"/>
      <c r="D31" s="40"/>
      <c r="E31" s="39"/>
      <c r="F31" s="40"/>
      <c r="G31" s="39"/>
      <c r="H31" s="40"/>
      <c r="I31" s="39"/>
      <c r="J31" s="67"/>
      <c r="K31" s="14"/>
      <c r="L31" s="17"/>
      <c r="M31" s="31"/>
      <c r="N31" s="32"/>
    </row>
    <row r="32" spans="2:14" ht="18" customHeight="1" x14ac:dyDescent="0.3">
      <c r="B32" s="8"/>
      <c r="C32" s="41"/>
      <c r="D32" s="42"/>
      <c r="E32" s="41"/>
      <c r="F32" s="42"/>
      <c r="G32" s="41"/>
      <c r="H32" s="42"/>
      <c r="I32" s="62"/>
      <c r="J32" s="63"/>
      <c r="K32" s="14"/>
      <c r="L32" s="17"/>
      <c r="M32" s="31"/>
      <c r="N32" s="32"/>
    </row>
    <row r="33" spans="2:14" ht="18" customHeight="1" x14ac:dyDescent="0.35">
      <c r="B33" s="7"/>
      <c r="C33" s="55"/>
      <c r="D33" s="56"/>
      <c r="E33" s="55"/>
      <c r="F33" s="56"/>
      <c r="G33" s="55"/>
      <c r="H33" s="56"/>
      <c r="I33" s="70"/>
      <c r="J33" s="71"/>
      <c r="K33" s="15"/>
      <c r="L33" s="20"/>
      <c r="M33" s="77"/>
      <c r="N33" s="78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4:D24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M6:N6"/>
    <mergeCell ref="M7:N7"/>
    <mergeCell ref="M8:N8"/>
    <mergeCell ref="M9:N9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</mergeCells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VLOOKUP(DAY(C4),КоличествоДней,1,FALSE)=DAY(C4)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/>
    <pageSetUpPr fitToPage="1"/>
  </sheetPr>
  <dimension ref="A1:O33"/>
  <sheetViews>
    <sheetView showGridLines="0" zoomScaleNormal="100" zoomScalePageLayoutView="84" workbookViewId="0">
      <selection activeCell="N2" sqref="N2:N3"/>
    </sheetView>
  </sheetViews>
  <sheetFormatPr defaultRowHeight="16.5" customHeight="1" x14ac:dyDescent="0.25"/>
  <cols>
    <col min="1" max="1" width="2.26953125" style="1" customWidth="1"/>
    <col min="2" max="2" width="17.54296875" style="1" customWidth="1"/>
    <col min="3" max="10" width="9.1796875" style="1" customWidth="1"/>
    <col min="11" max="11" width="7.26953125" style="1" customWidth="1"/>
    <col min="12" max="12" width="3.81640625" customWidth="1"/>
    <col min="13" max="13" width="51.453125" style="1" customWidth="1"/>
    <col min="14" max="14" width="10.7265625" style="1" customWidth="1"/>
    <col min="15" max="15" width="2.26953125" customWidth="1"/>
    <col min="16" max="16384" width="8.7265625" style="1"/>
  </cols>
  <sheetData>
    <row r="1" spans="1:14" ht="11.25" customHeight="1" x14ac:dyDescent="0.25"/>
    <row r="2" spans="1:14" ht="18" customHeight="1" x14ac:dyDescent="0.25">
      <c r="A2" s="4"/>
      <c r="B2" s="30"/>
      <c r="C2" s="21"/>
      <c r="D2" s="21"/>
      <c r="E2" s="21"/>
      <c r="F2" s="21"/>
      <c r="G2" s="21"/>
      <c r="H2" s="21"/>
      <c r="I2" s="21"/>
      <c r="J2" s="22"/>
      <c r="K2" s="48" t="s">
        <v>20</v>
      </c>
      <c r="L2" s="49">
        <v>2013</v>
      </c>
      <c r="M2" s="49"/>
      <c r="N2" s="79">
        <f>КалендарныйГод</f>
        <v>2020</v>
      </c>
    </row>
    <row r="3" spans="1:14" ht="21" customHeight="1" x14ac:dyDescent="0.25">
      <c r="A3" s="4"/>
      <c r="B3" s="72" t="s">
        <v>17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19</v>
      </c>
      <c r="J3" s="5"/>
      <c r="K3" s="50"/>
      <c r="L3" s="51"/>
      <c r="M3" s="51"/>
      <c r="N3" s="80"/>
    </row>
    <row r="4" spans="1:14" ht="18" customHeight="1" x14ac:dyDescent="0.3">
      <c r="A4" s="4"/>
      <c r="B4" s="72"/>
      <c r="C4" s="10">
        <f>IF(DAY(АвгВс1)=1,АвгВс1-6,АвгВс1+1)</f>
        <v>44039</v>
      </c>
      <c r="D4" s="10">
        <f>IF(DAY(АвгВс1)=1,АвгВс1-5,АвгВс1+2)</f>
        <v>44040</v>
      </c>
      <c r="E4" s="10">
        <f>IF(DAY(АвгВс1)=1,АвгВс1-4,АвгВс1+3)</f>
        <v>44041</v>
      </c>
      <c r="F4" s="10">
        <f>IF(DAY(АвгВс1)=1,АвгВс1-3,АвгВс1+4)</f>
        <v>44042</v>
      </c>
      <c r="G4" s="10">
        <f>IF(DAY(АвгВс1)=1,АвгВс1-2,АвгВс1+5)</f>
        <v>44043</v>
      </c>
      <c r="H4" s="10">
        <f>IF(DAY(АвгВс1)=1,АвгВс1-1,АвгВс1+6)</f>
        <v>44044</v>
      </c>
      <c r="I4" s="10">
        <f>IF(DAY(АвгВс1)=1,АвгВс1,АвгВс1+7)</f>
        <v>44045</v>
      </c>
      <c r="J4" s="5"/>
      <c r="K4" s="52"/>
      <c r="L4" s="16"/>
      <c r="M4" s="53"/>
      <c r="N4" s="54"/>
    </row>
    <row r="5" spans="1:14" ht="18" customHeight="1" x14ac:dyDescent="0.3">
      <c r="A5" s="4"/>
      <c r="B5" s="28"/>
      <c r="C5" s="10">
        <f>IF(DAY(АвгВс1)=1,АвгВс1+1,АвгВс1+8)</f>
        <v>44046</v>
      </c>
      <c r="D5" s="10">
        <f>IF(DAY(АвгВс1)=1,АвгВс1+2,АвгВс1+9)</f>
        <v>44047</v>
      </c>
      <c r="E5" s="10">
        <f>IF(DAY(АвгВс1)=1,АвгВс1+3,АвгВс1+10)</f>
        <v>44048</v>
      </c>
      <c r="F5" s="10">
        <f>IF(DAY(АвгВс1)=1,АвгВс1+4,АвгВс1+11)</f>
        <v>44049</v>
      </c>
      <c r="G5" s="10">
        <f>IF(DAY(АвгВс1)=1,АвгВс1+5,АвгВс1+12)</f>
        <v>44050</v>
      </c>
      <c r="H5" s="10">
        <f>IF(DAY(АвгВс1)=1,АвгВс1+6,АвгВс1+13)</f>
        <v>44051</v>
      </c>
      <c r="I5" s="10">
        <f>IF(DAY(АвгВс1)=1,АвгВс1+7,АвгВс1+14)</f>
        <v>44052</v>
      </c>
      <c r="J5" s="5"/>
      <c r="K5" s="44"/>
      <c r="L5" s="17"/>
      <c r="M5" s="31"/>
      <c r="N5" s="32"/>
    </row>
    <row r="6" spans="1:14" ht="18" customHeight="1" x14ac:dyDescent="0.3">
      <c r="A6" s="4"/>
      <c r="B6" s="28"/>
      <c r="C6" s="10">
        <f>IF(DAY(АвгВс1)=1,АвгВс1+8,АвгВс1+15)</f>
        <v>44053</v>
      </c>
      <c r="D6" s="10">
        <f>IF(DAY(АвгВс1)=1,АвгВс1+9,АвгВс1+16)</f>
        <v>44054</v>
      </c>
      <c r="E6" s="10">
        <f>IF(DAY(АвгВс1)=1,АвгВс1+10,АвгВс1+17)</f>
        <v>44055</v>
      </c>
      <c r="F6" s="10">
        <f>IF(DAY(АвгВс1)=1,АвгВс1+11,АвгВс1+18)</f>
        <v>44056</v>
      </c>
      <c r="G6" s="10">
        <f>IF(DAY(АвгВс1)=1,АвгВс1+12,АвгВс1+19)</f>
        <v>44057</v>
      </c>
      <c r="H6" s="10">
        <f>IF(DAY(АвгВс1)=1,АвгВс1+13,АвгВс1+20)</f>
        <v>44058</v>
      </c>
      <c r="I6" s="10">
        <f>IF(DAY(АвгВс1)=1,АвгВс1+14,АвгВс1+21)</f>
        <v>44059</v>
      </c>
      <c r="J6" s="5"/>
      <c r="K6" s="44"/>
      <c r="L6" s="17"/>
      <c r="M6" s="31"/>
      <c r="N6" s="32"/>
    </row>
    <row r="7" spans="1:14" ht="18" customHeight="1" x14ac:dyDescent="0.3">
      <c r="A7" s="4"/>
      <c r="B7" s="28"/>
      <c r="C7" s="10">
        <f>IF(DAY(АвгВс1)=1,АвгВс1+15,АвгВс1+22)</f>
        <v>44060</v>
      </c>
      <c r="D7" s="10">
        <f>IF(DAY(АвгВс1)=1,АвгВс1+16,АвгВс1+23)</f>
        <v>44061</v>
      </c>
      <c r="E7" s="10">
        <f>IF(DAY(АвгВс1)=1,АвгВс1+17,АвгВс1+24)</f>
        <v>44062</v>
      </c>
      <c r="F7" s="10">
        <f>IF(DAY(АвгВс1)=1,АвгВс1+18,АвгВс1+25)</f>
        <v>44063</v>
      </c>
      <c r="G7" s="10">
        <f>IF(DAY(АвгВс1)=1,АвгВс1+19,АвгВс1+26)</f>
        <v>44064</v>
      </c>
      <c r="H7" s="10">
        <f>IF(DAY(АвгВс1)=1,АвгВс1+20,АвгВс1+27)</f>
        <v>44065</v>
      </c>
      <c r="I7" s="10">
        <f>IF(DAY(АвгВс1)=1,АвгВс1+21,АвгВс1+28)</f>
        <v>44066</v>
      </c>
      <c r="J7" s="5"/>
      <c r="K7" s="11"/>
      <c r="L7" s="17"/>
      <c r="M7" s="31"/>
      <c r="N7" s="32"/>
    </row>
    <row r="8" spans="1:14" ht="18.75" customHeight="1" x14ac:dyDescent="0.3">
      <c r="A8" s="4"/>
      <c r="B8" s="28"/>
      <c r="C8" s="10">
        <f>IF(DAY(АвгВс1)=1,АвгВс1+22,АвгВс1+29)</f>
        <v>44067</v>
      </c>
      <c r="D8" s="10">
        <f>IF(DAY(АвгВс1)=1,АвгВс1+23,АвгВс1+30)</f>
        <v>44068</v>
      </c>
      <c r="E8" s="10">
        <f>IF(DAY(АвгВс1)=1,АвгВс1+24,АвгВс1+31)</f>
        <v>44069</v>
      </c>
      <c r="F8" s="10">
        <f>IF(DAY(АвгВс1)=1,АвгВс1+25,АвгВс1+32)</f>
        <v>44070</v>
      </c>
      <c r="G8" s="10">
        <f>IF(DAY(АвгВс1)=1,АвгВс1+26,АвгВс1+33)</f>
        <v>44071</v>
      </c>
      <c r="H8" s="10">
        <f>IF(DAY(АвгВс1)=1,АвгВс1+27,АвгВс1+34)</f>
        <v>44072</v>
      </c>
      <c r="I8" s="10">
        <f>IF(DAY(АвгВс1)=1,АвгВс1+28,АвгВс1+35)</f>
        <v>44073</v>
      </c>
      <c r="J8" s="5"/>
      <c r="K8" s="11"/>
      <c r="L8" s="17"/>
      <c r="M8" s="31"/>
      <c r="N8" s="32"/>
    </row>
    <row r="9" spans="1:14" ht="18" customHeight="1" x14ac:dyDescent="0.3">
      <c r="A9" s="4"/>
      <c r="B9" s="28"/>
      <c r="C9" s="10">
        <f>IF(DAY(АвгВс1)=1,АвгВс1+29,АвгВс1+36)</f>
        <v>44074</v>
      </c>
      <c r="D9" s="10">
        <f>IF(DAY(АвгВс1)=1,АвгВс1+30,АвгВс1+37)</f>
        <v>44075</v>
      </c>
      <c r="E9" s="10">
        <f>IF(DAY(АвгВс1)=1,АвгВс1+31,АвгВс1+38)</f>
        <v>44076</v>
      </c>
      <c r="F9" s="10">
        <f>IF(DAY(АвгВс1)=1,АвгВс1+32,АвгВс1+39)</f>
        <v>44077</v>
      </c>
      <c r="G9" s="10">
        <f>IF(DAY(АвгВс1)=1,АвгВс1+33,АвгВс1+40)</f>
        <v>44078</v>
      </c>
      <c r="H9" s="10">
        <f>IF(DAY(АвгВс1)=1,АвгВс1+34,АвгВс1+41)</f>
        <v>44079</v>
      </c>
      <c r="I9" s="10">
        <f>IF(DAY(АвгВс1)=1,АвгВс1+35,АвгВс1+42)</f>
        <v>44080</v>
      </c>
      <c r="J9" s="5"/>
      <c r="K9" s="12"/>
      <c r="L9" s="18"/>
      <c r="M9" s="33"/>
      <c r="N9" s="34"/>
    </row>
    <row r="10" spans="1:14" ht="18" customHeight="1" x14ac:dyDescent="0.3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43"/>
      <c r="L10" s="16"/>
      <c r="M10" s="35"/>
      <c r="N10" s="36"/>
    </row>
    <row r="11" spans="1:14" ht="18" customHeight="1" x14ac:dyDescent="0.3">
      <c r="A11" s="4"/>
      <c r="B11" s="74" t="s">
        <v>1</v>
      </c>
      <c r="C11" s="75"/>
      <c r="D11" s="75"/>
      <c r="E11" s="75"/>
      <c r="F11" s="75"/>
      <c r="G11" s="75"/>
      <c r="H11" s="75"/>
      <c r="I11" s="75"/>
      <c r="J11" s="76"/>
      <c r="K11" s="44"/>
      <c r="L11" s="17"/>
      <c r="M11" s="31"/>
      <c r="N11" s="32"/>
    </row>
    <row r="12" spans="1:14" ht="18" customHeight="1" x14ac:dyDescent="0.3">
      <c r="A12" s="4"/>
      <c r="B12" s="74"/>
      <c r="C12" s="75"/>
      <c r="D12" s="75"/>
      <c r="E12" s="75"/>
      <c r="F12" s="75"/>
      <c r="G12" s="75"/>
      <c r="H12" s="75"/>
      <c r="I12" s="75"/>
      <c r="J12" s="76"/>
      <c r="K12" s="44"/>
      <c r="L12" s="17"/>
      <c r="M12" s="31"/>
      <c r="N12" s="32"/>
    </row>
    <row r="13" spans="1:14" ht="18" customHeight="1" x14ac:dyDescent="0.3">
      <c r="B13" s="3" t="s">
        <v>2</v>
      </c>
      <c r="C13" s="45" t="s">
        <v>3</v>
      </c>
      <c r="D13" s="47"/>
      <c r="E13" s="45" t="s">
        <v>4</v>
      </c>
      <c r="F13" s="47"/>
      <c r="G13" s="45" t="s">
        <v>5</v>
      </c>
      <c r="H13" s="47"/>
      <c r="I13" s="45" t="s">
        <v>6</v>
      </c>
      <c r="J13" s="46"/>
      <c r="K13" s="11"/>
      <c r="L13" s="17"/>
      <c r="M13" s="31"/>
      <c r="N13" s="32"/>
    </row>
    <row r="14" spans="1:14" ht="18" customHeight="1" x14ac:dyDescent="0.3">
      <c r="B14" s="8"/>
      <c r="C14" s="41"/>
      <c r="D14" s="42"/>
      <c r="E14" s="41"/>
      <c r="F14" s="42"/>
      <c r="G14" s="41"/>
      <c r="H14" s="42"/>
      <c r="I14" s="41"/>
      <c r="J14" s="59"/>
      <c r="K14" s="11"/>
      <c r="L14" s="17"/>
      <c r="M14" s="31"/>
      <c r="N14" s="32"/>
    </row>
    <row r="15" spans="1:14" ht="18" customHeight="1" x14ac:dyDescent="0.3">
      <c r="B15" s="6"/>
      <c r="C15" s="39"/>
      <c r="D15" s="40"/>
      <c r="E15" s="39"/>
      <c r="F15" s="40"/>
      <c r="G15" s="39"/>
      <c r="H15" s="40"/>
      <c r="I15" s="60"/>
      <c r="J15" s="61"/>
      <c r="K15" s="13"/>
      <c r="L15" s="19"/>
      <c r="M15" s="33"/>
      <c r="N15" s="34"/>
    </row>
    <row r="16" spans="1:14" ht="18" customHeight="1" x14ac:dyDescent="0.3">
      <c r="B16" s="8"/>
      <c r="C16" s="41"/>
      <c r="D16" s="42"/>
      <c r="E16" s="41"/>
      <c r="F16" s="42"/>
      <c r="G16" s="41"/>
      <c r="H16" s="42"/>
      <c r="I16" s="62"/>
      <c r="J16" s="63"/>
      <c r="K16" s="43"/>
      <c r="L16" s="16"/>
      <c r="M16" s="35"/>
      <c r="N16" s="36"/>
    </row>
    <row r="17" spans="2:14" ht="18" customHeight="1" x14ac:dyDescent="0.3">
      <c r="B17" s="6"/>
      <c r="C17" s="39"/>
      <c r="D17" s="40"/>
      <c r="E17" s="39"/>
      <c r="F17" s="40"/>
      <c r="G17" s="39"/>
      <c r="H17" s="40"/>
      <c r="I17" s="60"/>
      <c r="J17" s="61"/>
      <c r="K17" s="44"/>
      <c r="L17" s="17"/>
      <c r="M17" s="31"/>
      <c r="N17" s="32"/>
    </row>
    <row r="18" spans="2:14" ht="18" customHeight="1" x14ac:dyDescent="0.3">
      <c r="B18" s="9"/>
      <c r="C18" s="57"/>
      <c r="D18" s="58"/>
      <c r="E18" s="57"/>
      <c r="F18" s="58"/>
      <c r="G18" s="57"/>
      <c r="H18" s="58"/>
      <c r="I18" s="57"/>
      <c r="J18" s="66"/>
      <c r="K18" s="44"/>
      <c r="L18" s="17"/>
      <c r="M18" s="31"/>
      <c r="N18" s="32"/>
    </row>
    <row r="19" spans="2:14" ht="18" customHeight="1" x14ac:dyDescent="0.3">
      <c r="B19" s="6"/>
      <c r="C19" s="39"/>
      <c r="D19" s="40"/>
      <c r="E19" s="39"/>
      <c r="F19" s="40"/>
      <c r="G19" s="39"/>
      <c r="H19" s="40"/>
      <c r="I19" s="60"/>
      <c r="J19" s="61"/>
      <c r="K19" s="11"/>
      <c r="L19" s="17"/>
      <c r="M19" s="31"/>
      <c r="N19" s="32"/>
    </row>
    <row r="20" spans="2:14" ht="18" customHeight="1" x14ac:dyDescent="0.3">
      <c r="B20" s="8"/>
      <c r="C20" s="41"/>
      <c r="D20" s="42"/>
      <c r="E20" s="41"/>
      <c r="F20" s="42"/>
      <c r="G20" s="41"/>
      <c r="H20" s="42"/>
      <c r="I20" s="41"/>
      <c r="J20" s="59"/>
      <c r="K20" s="11"/>
      <c r="L20" s="17"/>
      <c r="M20" s="31"/>
      <c r="N20" s="32"/>
    </row>
    <row r="21" spans="2:14" ht="18" customHeight="1" x14ac:dyDescent="0.3">
      <c r="B21" s="6"/>
      <c r="C21" s="39"/>
      <c r="D21" s="40"/>
      <c r="E21" s="39"/>
      <c r="F21" s="40"/>
      <c r="G21" s="39"/>
      <c r="H21" s="40"/>
      <c r="I21" s="64"/>
      <c r="J21" s="65"/>
      <c r="K21" s="13"/>
      <c r="L21" s="19"/>
      <c r="M21" s="33"/>
      <c r="N21" s="34"/>
    </row>
    <row r="22" spans="2:14" ht="18" customHeight="1" x14ac:dyDescent="0.3">
      <c r="B22" s="8"/>
      <c r="C22" s="41"/>
      <c r="D22" s="42"/>
      <c r="E22" s="41"/>
      <c r="F22" s="42"/>
      <c r="G22" s="41"/>
      <c r="H22" s="42"/>
      <c r="I22" s="41"/>
      <c r="J22" s="59"/>
      <c r="K22" s="43"/>
      <c r="L22" s="16"/>
      <c r="M22" s="35"/>
      <c r="N22" s="36"/>
    </row>
    <row r="23" spans="2:14" ht="18" customHeight="1" x14ac:dyDescent="0.3">
      <c r="B23" s="6"/>
      <c r="C23" s="39"/>
      <c r="D23" s="40"/>
      <c r="E23" s="39"/>
      <c r="F23" s="40"/>
      <c r="G23" s="39"/>
      <c r="H23" s="40"/>
      <c r="I23" s="60"/>
      <c r="J23" s="61"/>
      <c r="K23" s="44"/>
      <c r="L23" s="17"/>
      <c r="M23" s="31"/>
      <c r="N23" s="32"/>
    </row>
    <row r="24" spans="2:14" ht="18" customHeight="1" x14ac:dyDescent="0.3">
      <c r="B24" s="8"/>
      <c r="C24" s="41"/>
      <c r="D24" s="42"/>
      <c r="E24" s="41"/>
      <c r="F24" s="42"/>
      <c r="G24" s="41"/>
      <c r="H24" s="42"/>
      <c r="I24" s="41"/>
      <c r="J24" s="59"/>
      <c r="K24" s="44"/>
      <c r="L24" s="17"/>
      <c r="M24" s="31"/>
      <c r="N24" s="32"/>
    </row>
    <row r="25" spans="2:14" ht="18" customHeight="1" x14ac:dyDescent="0.3">
      <c r="B25" s="6"/>
      <c r="C25" s="39"/>
      <c r="D25" s="40"/>
      <c r="E25" s="39"/>
      <c r="F25" s="40"/>
      <c r="G25" s="39"/>
      <c r="H25" s="40"/>
      <c r="I25" s="60"/>
      <c r="J25" s="61"/>
      <c r="K25" s="44"/>
      <c r="L25" s="17"/>
      <c r="M25" s="31"/>
      <c r="N25" s="32"/>
    </row>
    <row r="26" spans="2:14" ht="18" customHeight="1" x14ac:dyDescent="0.3">
      <c r="B26" s="8"/>
      <c r="C26" s="41"/>
      <c r="D26" s="42"/>
      <c r="E26" s="41"/>
      <c r="F26" s="42"/>
      <c r="G26" s="41"/>
      <c r="H26" s="42"/>
      <c r="I26" s="41"/>
      <c r="J26" s="59"/>
      <c r="K26" s="11"/>
      <c r="L26" s="17"/>
      <c r="M26" s="31"/>
      <c r="N26" s="32"/>
    </row>
    <row r="27" spans="2:14" ht="18" customHeight="1" x14ac:dyDescent="0.3">
      <c r="B27" s="6"/>
      <c r="C27" s="39"/>
      <c r="D27" s="40"/>
      <c r="E27" s="39"/>
      <c r="F27" s="40"/>
      <c r="G27" s="39"/>
      <c r="H27" s="40"/>
      <c r="I27" s="60"/>
      <c r="J27" s="61"/>
      <c r="K27" s="13"/>
      <c r="L27" s="19"/>
      <c r="M27" s="33"/>
      <c r="N27" s="34"/>
    </row>
    <row r="28" spans="2:14" ht="18" customHeight="1" x14ac:dyDescent="0.3">
      <c r="B28" s="8"/>
      <c r="C28" s="41"/>
      <c r="D28" s="42"/>
      <c r="E28" s="41"/>
      <c r="F28" s="42"/>
      <c r="G28" s="41"/>
      <c r="H28" s="42"/>
      <c r="I28" s="41"/>
      <c r="J28" s="59"/>
      <c r="K28" s="43"/>
      <c r="L28" s="16"/>
      <c r="M28" s="35"/>
      <c r="N28" s="36"/>
    </row>
    <row r="29" spans="2:14" ht="18" customHeight="1" x14ac:dyDescent="0.3">
      <c r="B29" s="6"/>
      <c r="C29" s="39"/>
      <c r="D29" s="40"/>
      <c r="E29" s="39"/>
      <c r="F29" s="40"/>
      <c r="G29" s="39"/>
      <c r="H29" s="40"/>
      <c r="I29" s="39"/>
      <c r="J29" s="67"/>
      <c r="K29" s="44"/>
      <c r="L29" s="17"/>
      <c r="M29" s="31"/>
      <c r="N29" s="32"/>
    </row>
    <row r="30" spans="2:14" ht="18" customHeight="1" x14ac:dyDescent="0.3">
      <c r="B30" s="8"/>
      <c r="C30" s="41"/>
      <c r="D30" s="42"/>
      <c r="E30" s="41"/>
      <c r="F30" s="42"/>
      <c r="G30" s="41"/>
      <c r="H30" s="42"/>
      <c r="I30" s="68"/>
      <c r="J30" s="69"/>
      <c r="K30" s="44"/>
      <c r="L30" s="17"/>
      <c r="M30" s="31"/>
      <c r="N30" s="32"/>
    </row>
    <row r="31" spans="2:14" ht="18" customHeight="1" x14ac:dyDescent="0.3">
      <c r="B31" s="6"/>
      <c r="C31" s="39"/>
      <c r="D31" s="40"/>
      <c r="E31" s="39"/>
      <c r="F31" s="40"/>
      <c r="G31" s="39"/>
      <c r="H31" s="40"/>
      <c r="I31" s="39"/>
      <c r="J31" s="67"/>
      <c r="K31" s="14"/>
      <c r="L31" s="17"/>
      <c r="M31" s="31"/>
      <c r="N31" s="32"/>
    </row>
    <row r="32" spans="2:14" ht="18" customHeight="1" x14ac:dyDescent="0.3">
      <c r="B32" s="8"/>
      <c r="C32" s="41"/>
      <c r="D32" s="42"/>
      <c r="E32" s="41"/>
      <c r="F32" s="42"/>
      <c r="G32" s="41"/>
      <c r="H32" s="42"/>
      <c r="I32" s="62"/>
      <c r="J32" s="63"/>
      <c r="K32" s="14"/>
      <c r="L32" s="17"/>
      <c r="M32" s="31"/>
      <c r="N32" s="32"/>
    </row>
    <row r="33" spans="2:14" ht="18" customHeight="1" x14ac:dyDescent="0.35">
      <c r="B33" s="7"/>
      <c r="C33" s="55"/>
      <c r="D33" s="56"/>
      <c r="E33" s="55"/>
      <c r="F33" s="56"/>
      <c r="G33" s="55"/>
      <c r="H33" s="56"/>
      <c r="I33" s="70"/>
      <c r="J33" s="71"/>
      <c r="K33" s="15"/>
      <c r="L33" s="20"/>
      <c r="M33" s="77"/>
      <c r="N33" s="78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4:D24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M6:N6"/>
    <mergeCell ref="M7:N7"/>
    <mergeCell ref="M8:N8"/>
    <mergeCell ref="M9:N9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</mergeCells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VLOOKUP(DAY(C4),КоличествоДней,1,FALSE)=DAY(C4)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/>
    <pageSetUpPr fitToPage="1"/>
  </sheetPr>
  <dimension ref="A1:O33"/>
  <sheetViews>
    <sheetView showGridLines="0" zoomScaleNormal="100" zoomScalePageLayoutView="84" workbookViewId="0">
      <selection activeCell="N2" sqref="N2:N3"/>
    </sheetView>
  </sheetViews>
  <sheetFormatPr defaultRowHeight="16.5" customHeight="1" x14ac:dyDescent="0.25"/>
  <cols>
    <col min="1" max="1" width="2.26953125" style="1" customWidth="1"/>
    <col min="2" max="2" width="17.54296875" style="1" customWidth="1"/>
    <col min="3" max="10" width="9.1796875" style="1" customWidth="1"/>
    <col min="11" max="11" width="7.26953125" style="1" customWidth="1"/>
    <col min="12" max="12" width="3.81640625" customWidth="1"/>
    <col min="13" max="13" width="51.453125" style="1" customWidth="1"/>
    <col min="14" max="14" width="10.7265625" style="1" customWidth="1"/>
    <col min="15" max="15" width="2.26953125" customWidth="1"/>
    <col min="16" max="16384" width="8.7265625" style="1"/>
  </cols>
  <sheetData>
    <row r="1" spans="1:14" ht="11.25" customHeight="1" x14ac:dyDescent="0.25"/>
    <row r="2" spans="1:14" ht="18" customHeight="1" x14ac:dyDescent="0.25">
      <c r="A2" s="4"/>
      <c r="B2" s="30"/>
      <c r="C2" s="21"/>
      <c r="D2" s="21"/>
      <c r="E2" s="21"/>
      <c r="F2" s="21"/>
      <c r="G2" s="21"/>
      <c r="H2" s="21"/>
      <c r="I2" s="21"/>
      <c r="J2" s="22"/>
      <c r="K2" s="48" t="s">
        <v>20</v>
      </c>
      <c r="L2" s="49">
        <v>2013</v>
      </c>
      <c r="M2" s="49"/>
      <c r="N2" s="79">
        <f>КалендарныйГод</f>
        <v>2020</v>
      </c>
    </row>
    <row r="3" spans="1:14" ht="21" customHeight="1" x14ac:dyDescent="0.25">
      <c r="A3" s="4"/>
      <c r="B3" s="72" t="s">
        <v>18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19</v>
      </c>
      <c r="J3" s="5"/>
      <c r="K3" s="50"/>
      <c r="L3" s="51"/>
      <c r="M3" s="51"/>
      <c r="N3" s="80"/>
    </row>
    <row r="4" spans="1:14" ht="18" customHeight="1" x14ac:dyDescent="0.3">
      <c r="A4" s="4"/>
      <c r="B4" s="72"/>
      <c r="C4" s="10">
        <f>IF(DAY(СенВс1)=1,СенВс1-6,СенВс1+1)</f>
        <v>44074</v>
      </c>
      <c r="D4" s="10">
        <f>IF(DAY(СенВс1)=1,СенВс1-5,СенВс1+2)</f>
        <v>44075</v>
      </c>
      <c r="E4" s="10">
        <f>IF(DAY(СенВс1)=1,СенВс1-4,СенВс1+3)</f>
        <v>44076</v>
      </c>
      <c r="F4" s="10">
        <f>IF(DAY(СенВс1)=1,СенВс1-3,СенВс1+4)</f>
        <v>44077</v>
      </c>
      <c r="G4" s="10">
        <f>IF(DAY(СенВс1)=1,СенВс1-2,СенВс1+5)</f>
        <v>44078</v>
      </c>
      <c r="H4" s="10">
        <f>IF(DAY(СенВс1)=1,СенВс1-1,СенВс1+6)</f>
        <v>44079</v>
      </c>
      <c r="I4" s="10">
        <f>IF(DAY(СенВс1)=1,СенВс1,СенВс1+7)</f>
        <v>44080</v>
      </c>
      <c r="J4" s="5"/>
      <c r="K4" s="52"/>
      <c r="L4" s="16"/>
      <c r="M4" s="53"/>
      <c r="N4" s="54"/>
    </row>
    <row r="5" spans="1:14" ht="18" customHeight="1" x14ac:dyDescent="0.3">
      <c r="A5" s="4"/>
      <c r="B5" s="28"/>
      <c r="C5" s="10">
        <f>IF(DAY(СенВс1)=1,СенВс1+1,СенВс1+8)</f>
        <v>44081</v>
      </c>
      <c r="D5" s="10">
        <f>IF(DAY(СенВс1)=1,СенВс1+2,СенВс1+9)</f>
        <v>44082</v>
      </c>
      <c r="E5" s="10">
        <f>IF(DAY(СенВс1)=1,СенВс1+3,СенВс1+10)</f>
        <v>44083</v>
      </c>
      <c r="F5" s="10">
        <f>IF(DAY(СенВс1)=1,СенВс1+4,СенВс1+11)</f>
        <v>44084</v>
      </c>
      <c r="G5" s="10">
        <f>IF(DAY(СенВс1)=1,СенВс1+5,СенВс1+12)</f>
        <v>44085</v>
      </c>
      <c r="H5" s="10">
        <f>IF(DAY(СенВс1)=1,СенВс1+6,СенВс1+13)</f>
        <v>44086</v>
      </c>
      <c r="I5" s="10">
        <f>IF(DAY(СенВс1)=1,СенВс1+7,СенВс1+14)</f>
        <v>44087</v>
      </c>
      <c r="J5" s="5"/>
      <c r="K5" s="44"/>
      <c r="L5" s="17"/>
      <c r="M5" s="31"/>
      <c r="N5" s="32"/>
    </row>
    <row r="6" spans="1:14" ht="18" customHeight="1" x14ac:dyDescent="0.3">
      <c r="A6" s="4"/>
      <c r="B6" s="28"/>
      <c r="C6" s="10">
        <f>IF(DAY(СенВс1)=1,СенВс1+8,СенВс1+15)</f>
        <v>44088</v>
      </c>
      <c r="D6" s="10">
        <f>IF(DAY(СенВс1)=1,СенВс1+9,СенВс1+16)</f>
        <v>44089</v>
      </c>
      <c r="E6" s="10">
        <f>IF(DAY(СенВс1)=1,СенВс1+10,СенВс1+17)</f>
        <v>44090</v>
      </c>
      <c r="F6" s="10">
        <f>IF(DAY(СенВс1)=1,СенВс1+11,СенВс1+18)</f>
        <v>44091</v>
      </c>
      <c r="G6" s="10">
        <f>IF(DAY(СенВс1)=1,СенВс1+12,СенВс1+19)</f>
        <v>44092</v>
      </c>
      <c r="H6" s="10">
        <f>IF(DAY(СенВс1)=1,СенВс1+13,СенВс1+20)</f>
        <v>44093</v>
      </c>
      <c r="I6" s="10">
        <f>IF(DAY(СенВс1)=1,СенВс1+14,СенВс1+21)</f>
        <v>44094</v>
      </c>
      <c r="J6" s="5"/>
      <c r="K6" s="44"/>
      <c r="L6" s="17"/>
      <c r="M6" s="31"/>
      <c r="N6" s="32"/>
    </row>
    <row r="7" spans="1:14" ht="18" customHeight="1" x14ac:dyDescent="0.3">
      <c r="A7" s="4"/>
      <c r="B7" s="28"/>
      <c r="C7" s="10">
        <f>IF(DAY(СенВс1)=1,СенВс1+15,СенВс1+22)</f>
        <v>44095</v>
      </c>
      <c r="D7" s="10">
        <f>IF(DAY(СенВс1)=1,СенВс1+16,СенВс1+23)</f>
        <v>44096</v>
      </c>
      <c r="E7" s="10">
        <f>IF(DAY(СенВс1)=1,СенВс1+17,СенВс1+24)</f>
        <v>44097</v>
      </c>
      <c r="F7" s="10">
        <f>IF(DAY(СенВс1)=1,СенВс1+18,СенВс1+25)</f>
        <v>44098</v>
      </c>
      <c r="G7" s="10">
        <f>IF(DAY(СенВс1)=1,СенВс1+19,СенВс1+26)</f>
        <v>44099</v>
      </c>
      <c r="H7" s="10">
        <f>IF(DAY(СенВс1)=1,СенВс1+20,СенВс1+27)</f>
        <v>44100</v>
      </c>
      <c r="I7" s="10">
        <f>IF(DAY(СенВс1)=1,СенВс1+21,СенВс1+28)</f>
        <v>44101</v>
      </c>
      <c r="J7" s="5"/>
      <c r="K7" s="11"/>
      <c r="L7" s="17"/>
      <c r="M7" s="31"/>
      <c r="N7" s="32"/>
    </row>
    <row r="8" spans="1:14" ht="18.75" customHeight="1" x14ac:dyDescent="0.3">
      <c r="A8" s="4"/>
      <c r="B8" s="28"/>
      <c r="C8" s="10">
        <f>IF(DAY(СенВс1)=1,СенВс1+22,СенВс1+29)</f>
        <v>44102</v>
      </c>
      <c r="D8" s="10">
        <f>IF(DAY(СенВс1)=1,СенВс1+23,СенВс1+30)</f>
        <v>44103</v>
      </c>
      <c r="E8" s="10">
        <f>IF(DAY(СенВс1)=1,СенВс1+24,СенВс1+31)</f>
        <v>44104</v>
      </c>
      <c r="F8" s="10">
        <f>IF(DAY(СенВс1)=1,СенВс1+25,СенВс1+32)</f>
        <v>44105</v>
      </c>
      <c r="G8" s="10">
        <f>IF(DAY(СенВс1)=1,СенВс1+26,СенВс1+33)</f>
        <v>44106</v>
      </c>
      <c r="H8" s="10">
        <f>IF(DAY(СенВс1)=1,СенВс1+27,СенВс1+34)</f>
        <v>44107</v>
      </c>
      <c r="I8" s="10">
        <f>IF(DAY(СенВс1)=1,СенВс1+28,СенВс1+35)</f>
        <v>44108</v>
      </c>
      <c r="J8" s="5"/>
      <c r="K8" s="11"/>
      <c r="L8" s="17"/>
      <c r="M8" s="31"/>
      <c r="N8" s="32"/>
    </row>
    <row r="9" spans="1:14" ht="18" customHeight="1" x14ac:dyDescent="0.3">
      <c r="A9" s="4"/>
      <c r="B9" s="28"/>
      <c r="C9" s="10">
        <f>IF(DAY(СенВс1)=1,СенВс1+29,СенВс1+36)</f>
        <v>44109</v>
      </c>
      <c r="D9" s="10">
        <f>IF(DAY(СенВс1)=1,СенВс1+30,СенВс1+37)</f>
        <v>44110</v>
      </c>
      <c r="E9" s="10">
        <f>IF(DAY(СенВс1)=1,СенВс1+31,СенВс1+38)</f>
        <v>44111</v>
      </c>
      <c r="F9" s="10">
        <f>IF(DAY(СенВс1)=1,СенВс1+32,СенВс1+39)</f>
        <v>44112</v>
      </c>
      <c r="G9" s="10">
        <f>IF(DAY(СенВс1)=1,СенВс1+33,СенВс1+40)</f>
        <v>44113</v>
      </c>
      <c r="H9" s="10">
        <f>IF(DAY(СенВс1)=1,СенВс1+34,СенВс1+41)</f>
        <v>44114</v>
      </c>
      <c r="I9" s="10">
        <f>IF(DAY(СенВс1)=1,СенВс1+35,СенВс1+42)</f>
        <v>44115</v>
      </c>
      <c r="J9" s="5"/>
      <c r="K9" s="12"/>
      <c r="L9" s="18"/>
      <c r="M9" s="33"/>
      <c r="N9" s="34"/>
    </row>
    <row r="10" spans="1:14" ht="18" customHeight="1" x14ac:dyDescent="0.3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43"/>
      <c r="L10" s="16"/>
      <c r="M10" s="35"/>
      <c r="N10" s="36"/>
    </row>
    <row r="11" spans="1:14" ht="18" customHeight="1" x14ac:dyDescent="0.3">
      <c r="A11" s="4"/>
      <c r="B11" s="74" t="s">
        <v>1</v>
      </c>
      <c r="C11" s="75"/>
      <c r="D11" s="75"/>
      <c r="E11" s="75"/>
      <c r="F11" s="75"/>
      <c r="G11" s="75"/>
      <c r="H11" s="75"/>
      <c r="I11" s="75"/>
      <c r="J11" s="76"/>
      <c r="K11" s="44"/>
      <c r="L11" s="17"/>
      <c r="M11" s="31"/>
      <c r="N11" s="32"/>
    </row>
    <row r="12" spans="1:14" ht="18" customHeight="1" x14ac:dyDescent="0.3">
      <c r="A12" s="4"/>
      <c r="B12" s="74"/>
      <c r="C12" s="75"/>
      <c r="D12" s="75"/>
      <c r="E12" s="75"/>
      <c r="F12" s="75"/>
      <c r="G12" s="75"/>
      <c r="H12" s="75"/>
      <c r="I12" s="75"/>
      <c r="J12" s="76"/>
      <c r="K12" s="44"/>
      <c r="L12" s="17"/>
      <c r="M12" s="31"/>
      <c r="N12" s="32"/>
    </row>
    <row r="13" spans="1:14" ht="18" customHeight="1" x14ac:dyDescent="0.3">
      <c r="B13" s="3" t="s">
        <v>2</v>
      </c>
      <c r="C13" s="45" t="s">
        <v>3</v>
      </c>
      <c r="D13" s="47"/>
      <c r="E13" s="45" t="s">
        <v>4</v>
      </c>
      <c r="F13" s="47"/>
      <c r="G13" s="45" t="s">
        <v>5</v>
      </c>
      <c r="H13" s="47"/>
      <c r="I13" s="45" t="s">
        <v>6</v>
      </c>
      <c r="J13" s="46"/>
      <c r="K13" s="11"/>
      <c r="L13" s="17"/>
      <c r="M13" s="31"/>
      <c r="N13" s="32"/>
    </row>
    <row r="14" spans="1:14" ht="18" customHeight="1" x14ac:dyDescent="0.3">
      <c r="B14" s="8"/>
      <c r="C14" s="41"/>
      <c r="D14" s="42"/>
      <c r="E14" s="41"/>
      <c r="F14" s="42"/>
      <c r="G14" s="41"/>
      <c r="H14" s="42"/>
      <c r="I14" s="41"/>
      <c r="J14" s="59"/>
      <c r="K14" s="11"/>
      <c r="L14" s="17"/>
      <c r="M14" s="31"/>
      <c r="N14" s="32"/>
    </row>
    <row r="15" spans="1:14" ht="18" customHeight="1" x14ac:dyDescent="0.3">
      <c r="B15" s="6"/>
      <c r="C15" s="39"/>
      <c r="D15" s="40"/>
      <c r="E15" s="39"/>
      <c r="F15" s="40"/>
      <c r="G15" s="39"/>
      <c r="H15" s="40"/>
      <c r="I15" s="60"/>
      <c r="J15" s="61"/>
      <c r="K15" s="13"/>
      <c r="L15" s="19"/>
      <c r="M15" s="33"/>
      <c r="N15" s="34"/>
    </row>
    <row r="16" spans="1:14" ht="18" customHeight="1" x14ac:dyDescent="0.3">
      <c r="B16" s="8"/>
      <c r="C16" s="41"/>
      <c r="D16" s="42"/>
      <c r="E16" s="41"/>
      <c r="F16" s="42"/>
      <c r="G16" s="41"/>
      <c r="H16" s="42"/>
      <c r="I16" s="62"/>
      <c r="J16" s="63"/>
      <c r="K16" s="43"/>
      <c r="L16" s="16"/>
      <c r="M16" s="35"/>
      <c r="N16" s="36"/>
    </row>
    <row r="17" spans="2:14" ht="18" customHeight="1" x14ac:dyDescent="0.3">
      <c r="B17" s="6"/>
      <c r="C17" s="39"/>
      <c r="D17" s="40"/>
      <c r="E17" s="39"/>
      <c r="F17" s="40"/>
      <c r="G17" s="39"/>
      <c r="H17" s="40"/>
      <c r="I17" s="60"/>
      <c r="J17" s="61"/>
      <c r="K17" s="44"/>
      <c r="L17" s="17"/>
      <c r="M17" s="31"/>
      <c r="N17" s="32"/>
    </row>
    <row r="18" spans="2:14" ht="18" customHeight="1" x14ac:dyDescent="0.3">
      <c r="B18" s="9"/>
      <c r="C18" s="57"/>
      <c r="D18" s="58"/>
      <c r="E18" s="57"/>
      <c r="F18" s="58"/>
      <c r="G18" s="57"/>
      <c r="H18" s="58"/>
      <c r="I18" s="57"/>
      <c r="J18" s="66"/>
      <c r="K18" s="44"/>
      <c r="L18" s="17"/>
      <c r="M18" s="31"/>
      <c r="N18" s="32"/>
    </row>
    <row r="19" spans="2:14" ht="18" customHeight="1" x14ac:dyDescent="0.3">
      <c r="B19" s="6"/>
      <c r="C19" s="39"/>
      <c r="D19" s="40"/>
      <c r="E19" s="39"/>
      <c r="F19" s="40"/>
      <c r="G19" s="39"/>
      <c r="H19" s="40"/>
      <c r="I19" s="60"/>
      <c r="J19" s="61"/>
      <c r="K19" s="11"/>
      <c r="L19" s="17"/>
      <c r="M19" s="31"/>
      <c r="N19" s="32"/>
    </row>
    <row r="20" spans="2:14" ht="18" customHeight="1" x14ac:dyDescent="0.3">
      <c r="B20" s="8"/>
      <c r="C20" s="41"/>
      <c r="D20" s="42"/>
      <c r="E20" s="41"/>
      <c r="F20" s="42"/>
      <c r="G20" s="41"/>
      <c r="H20" s="42"/>
      <c r="I20" s="41"/>
      <c r="J20" s="59"/>
      <c r="K20" s="11"/>
      <c r="L20" s="17"/>
      <c r="M20" s="31"/>
      <c r="N20" s="32"/>
    </row>
    <row r="21" spans="2:14" ht="18" customHeight="1" x14ac:dyDescent="0.3">
      <c r="B21" s="6"/>
      <c r="C21" s="39"/>
      <c r="D21" s="40"/>
      <c r="E21" s="39"/>
      <c r="F21" s="40"/>
      <c r="G21" s="39"/>
      <c r="H21" s="40"/>
      <c r="I21" s="64"/>
      <c r="J21" s="65"/>
      <c r="K21" s="13"/>
      <c r="L21" s="19"/>
      <c r="M21" s="33"/>
      <c r="N21" s="34"/>
    </row>
    <row r="22" spans="2:14" ht="18" customHeight="1" x14ac:dyDescent="0.3">
      <c r="B22" s="8"/>
      <c r="C22" s="41"/>
      <c r="D22" s="42"/>
      <c r="E22" s="41"/>
      <c r="F22" s="42"/>
      <c r="G22" s="41"/>
      <c r="H22" s="42"/>
      <c r="I22" s="41"/>
      <c r="J22" s="59"/>
      <c r="K22" s="43"/>
      <c r="L22" s="16"/>
      <c r="M22" s="35"/>
      <c r="N22" s="36"/>
    </row>
    <row r="23" spans="2:14" ht="18" customHeight="1" x14ac:dyDescent="0.3">
      <c r="B23" s="6"/>
      <c r="C23" s="39"/>
      <c r="D23" s="40"/>
      <c r="E23" s="39"/>
      <c r="F23" s="40"/>
      <c r="G23" s="39"/>
      <c r="H23" s="40"/>
      <c r="I23" s="60"/>
      <c r="J23" s="61"/>
      <c r="K23" s="44"/>
      <c r="L23" s="17"/>
      <c r="M23" s="31"/>
      <c r="N23" s="32"/>
    </row>
    <row r="24" spans="2:14" ht="18" customHeight="1" x14ac:dyDescent="0.3">
      <c r="B24" s="8"/>
      <c r="C24" s="41"/>
      <c r="D24" s="42"/>
      <c r="E24" s="41"/>
      <c r="F24" s="42"/>
      <c r="G24" s="41"/>
      <c r="H24" s="42"/>
      <c r="I24" s="41"/>
      <c r="J24" s="59"/>
      <c r="K24" s="44"/>
      <c r="L24" s="17"/>
      <c r="M24" s="31"/>
      <c r="N24" s="32"/>
    </row>
    <row r="25" spans="2:14" ht="18" customHeight="1" x14ac:dyDescent="0.3">
      <c r="B25" s="6"/>
      <c r="C25" s="39"/>
      <c r="D25" s="40"/>
      <c r="E25" s="39"/>
      <c r="F25" s="40"/>
      <c r="G25" s="39"/>
      <c r="H25" s="40"/>
      <c r="I25" s="60"/>
      <c r="J25" s="61"/>
      <c r="K25" s="44"/>
      <c r="L25" s="17"/>
      <c r="M25" s="31"/>
      <c r="N25" s="32"/>
    </row>
    <row r="26" spans="2:14" ht="18" customHeight="1" x14ac:dyDescent="0.3">
      <c r="B26" s="8"/>
      <c r="C26" s="41"/>
      <c r="D26" s="42"/>
      <c r="E26" s="41"/>
      <c r="F26" s="42"/>
      <c r="G26" s="41"/>
      <c r="H26" s="42"/>
      <c r="I26" s="41"/>
      <c r="J26" s="59"/>
      <c r="K26" s="11"/>
      <c r="L26" s="17"/>
      <c r="M26" s="31"/>
      <c r="N26" s="32"/>
    </row>
    <row r="27" spans="2:14" ht="18" customHeight="1" x14ac:dyDescent="0.3">
      <c r="B27" s="6"/>
      <c r="C27" s="39"/>
      <c r="D27" s="40"/>
      <c r="E27" s="39"/>
      <c r="F27" s="40"/>
      <c r="G27" s="39"/>
      <c r="H27" s="40"/>
      <c r="I27" s="60"/>
      <c r="J27" s="61"/>
      <c r="K27" s="13"/>
      <c r="L27" s="19"/>
      <c r="M27" s="33"/>
      <c r="N27" s="34"/>
    </row>
    <row r="28" spans="2:14" ht="18" customHeight="1" x14ac:dyDescent="0.3">
      <c r="B28" s="8"/>
      <c r="C28" s="41"/>
      <c r="D28" s="42"/>
      <c r="E28" s="41"/>
      <c r="F28" s="42"/>
      <c r="G28" s="41"/>
      <c r="H28" s="42"/>
      <c r="I28" s="41"/>
      <c r="J28" s="59"/>
      <c r="K28" s="43"/>
      <c r="L28" s="16"/>
      <c r="M28" s="35"/>
      <c r="N28" s="36"/>
    </row>
    <row r="29" spans="2:14" ht="18" customHeight="1" x14ac:dyDescent="0.3">
      <c r="B29" s="6"/>
      <c r="C29" s="39"/>
      <c r="D29" s="40"/>
      <c r="E29" s="39"/>
      <c r="F29" s="40"/>
      <c r="G29" s="39"/>
      <c r="H29" s="40"/>
      <c r="I29" s="39"/>
      <c r="J29" s="67"/>
      <c r="K29" s="44"/>
      <c r="L29" s="17"/>
      <c r="M29" s="31"/>
      <c r="N29" s="32"/>
    </row>
    <row r="30" spans="2:14" ht="18" customHeight="1" x14ac:dyDescent="0.3">
      <c r="B30" s="8"/>
      <c r="C30" s="41"/>
      <c r="D30" s="42"/>
      <c r="E30" s="41"/>
      <c r="F30" s="42"/>
      <c r="G30" s="41"/>
      <c r="H30" s="42"/>
      <c r="I30" s="68"/>
      <c r="J30" s="69"/>
      <c r="K30" s="44"/>
      <c r="L30" s="17"/>
      <c r="M30" s="31"/>
      <c r="N30" s="32"/>
    </row>
    <row r="31" spans="2:14" ht="18" customHeight="1" x14ac:dyDescent="0.3">
      <c r="B31" s="6"/>
      <c r="C31" s="39"/>
      <c r="D31" s="40"/>
      <c r="E31" s="39"/>
      <c r="F31" s="40"/>
      <c r="G31" s="39"/>
      <c r="H31" s="40"/>
      <c r="I31" s="39"/>
      <c r="J31" s="67"/>
      <c r="K31" s="14"/>
      <c r="L31" s="17"/>
      <c r="M31" s="31"/>
      <c r="N31" s="32"/>
    </row>
    <row r="32" spans="2:14" ht="18" customHeight="1" x14ac:dyDescent="0.3">
      <c r="B32" s="8"/>
      <c r="C32" s="41"/>
      <c r="D32" s="42"/>
      <c r="E32" s="41"/>
      <c r="F32" s="42"/>
      <c r="G32" s="41"/>
      <c r="H32" s="42"/>
      <c r="I32" s="62"/>
      <c r="J32" s="63"/>
      <c r="K32" s="14"/>
      <c r="L32" s="17"/>
      <c r="M32" s="31"/>
      <c r="N32" s="32"/>
    </row>
    <row r="33" spans="2:14" ht="18" customHeight="1" x14ac:dyDescent="0.35">
      <c r="B33" s="7"/>
      <c r="C33" s="55"/>
      <c r="D33" s="56"/>
      <c r="E33" s="55"/>
      <c r="F33" s="56"/>
      <c r="G33" s="55"/>
      <c r="H33" s="56"/>
      <c r="I33" s="70"/>
      <c r="J33" s="71"/>
      <c r="K33" s="15"/>
      <c r="L33" s="20"/>
      <c r="M33" s="77"/>
      <c r="N33" s="78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4:D24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M6:N6"/>
    <mergeCell ref="M7:N7"/>
    <mergeCell ref="M8:N8"/>
    <mergeCell ref="M9:N9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</mergeCells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3" priority="4">
      <formula>VLOOKUP(DAY(C4),КоличествоДней,1,FALSE)=DAY(C4)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37</vt:i4>
      </vt:variant>
    </vt:vector>
  </HeadingPairs>
  <TitlesOfParts>
    <vt:vector size="49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КалендарныйГод</vt:lpstr>
      <vt:lpstr>Август!КоличествоДней</vt:lpstr>
      <vt:lpstr>Апрель!КоличествоДней</vt:lpstr>
      <vt:lpstr>Декабрь!КоличествоДней</vt:lpstr>
      <vt:lpstr>Июль!КоличествоДней</vt:lpstr>
      <vt:lpstr>Июнь!КоличествоДней</vt:lpstr>
      <vt:lpstr>Май!КоличествоДней</vt:lpstr>
      <vt:lpstr>Март!КоличествоДней</vt:lpstr>
      <vt:lpstr>Ноябрь!КоличествоДней</vt:lpstr>
      <vt:lpstr>Октябрь!КоличествоДней</vt:lpstr>
      <vt:lpstr>Сентябрь!КоличествоДней</vt:lpstr>
      <vt:lpstr>Февраль!КоличествоДней</vt:lpstr>
      <vt:lpstr>КоличествоДней</vt:lpstr>
      <vt:lpstr>Август!Область_печати</vt:lpstr>
      <vt:lpstr>Апрель!Область_печати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Ноябрь!Область_печати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  <vt:lpstr>Август!ТаблицаВажныхДат</vt:lpstr>
      <vt:lpstr>Апрель!ТаблицаВажныхДат</vt:lpstr>
      <vt:lpstr>Декабрь!ТаблицаВажныхДат</vt:lpstr>
      <vt:lpstr>Июль!ТаблицаВажныхДат</vt:lpstr>
      <vt:lpstr>Июнь!ТаблицаВажныхДат</vt:lpstr>
      <vt:lpstr>Май!ТаблицаВажныхДат</vt:lpstr>
      <vt:lpstr>Март!ТаблицаВажныхДат</vt:lpstr>
      <vt:lpstr>Ноябрь!ТаблицаВажныхДат</vt:lpstr>
      <vt:lpstr>Октябрь!ТаблицаВажныхДат</vt:lpstr>
      <vt:lpstr>Сентябрь!ТаблицаВажныхДат</vt:lpstr>
      <vt:lpstr>Февраль!ТаблицаВажныхДат</vt:lpstr>
      <vt:lpstr>ТаблицаВажныхДат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Алексей Рубан</cp:lastModifiedBy>
  <dcterms:created xsi:type="dcterms:W3CDTF">2013-11-22T23:21:45Z</dcterms:created>
  <dcterms:modified xsi:type="dcterms:W3CDTF">2019-09-04T08:20:24Z</dcterms:modified>
</cp:coreProperties>
</file>