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0" windowWidth="20490" windowHeight="7515" tabRatio="741" activeTab="0"/>
  </bookViews>
  <sheets>
    <sheet name="Январь" sheetId="1" r:id="rId1"/>
    <sheet name="Февраль" sheetId="2" r:id="rId2"/>
    <sheet name="Март" sheetId="3" r:id="rId3"/>
    <sheet name="Апрель" sheetId="4" r:id="rId4"/>
    <sheet name="Май" sheetId="5" r:id="rId5"/>
    <sheet name="Июнь" sheetId="6" r:id="rId6"/>
    <sheet name="Июль" sheetId="7" r:id="rId7"/>
    <sheet name="Август" sheetId="8" r:id="rId8"/>
    <sheet name="Сентябрь" sheetId="9" r:id="rId9"/>
    <sheet name="Октябрь" sheetId="10" r:id="rId10"/>
    <sheet name="Ноябрь" sheetId="11" r:id="rId11"/>
    <sheet name="Декабрь" sheetId="12" r:id="rId12"/>
  </sheets>
  <definedNames>
    <definedName name="АвгВс1">DATE(КалендарныйГод,8,1)-WEEKDAY(DATE(КалендарныйГод,8,1))+1</definedName>
    <definedName name="АпрВс1">DATE(КалендарныйГод,4,1)-WEEKDAY(DATE(КалендарныйГод,4,1))+1</definedName>
    <definedName name="ДекВс1">DATE(КалендарныйГод,12,1)-WEEKDAY(DATE(КалендарныйГод,12,1))+1</definedName>
    <definedName name="ИюлВс1">DATE(КалендарныйГод,7,1)-WEEKDAY(DATE(КалендарныйГод,7,1))+1</definedName>
    <definedName name="ИюнВс1">DATE(КалендарныйГод,6,1)-WEEKDAY(DATE(КалендарныйГод,6,1))+1</definedName>
    <definedName name="КалендарныйГод">'Январь'!$N$2</definedName>
    <definedName name="КоличествоДней" localSheetId="7">'Август'!$L$4:$L$33</definedName>
    <definedName name="КоличествоДней" localSheetId="3">'Апрель'!$L$4:$L$33</definedName>
    <definedName name="КоличествоДней" localSheetId="11">'Декабрь'!$L$4:$L$33</definedName>
    <definedName name="КоличествоДней" localSheetId="6">'Июль'!$L$4:$L$33</definedName>
    <definedName name="КоличествоДней" localSheetId="5">'Июнь'!$L$4:$L$33</definedName>
    <definedName name="КоличествоДней" localSheetId="4">'Май'!$L$4:$L$33</definedName>
    <definedName name="КоличествоДней" localSheetId="2">'Март'!$L$4:$L$33</definedName>
    <definedName name="КоличествоДней" localSheetId="10">'Ноябрь'!$L$4:$L$33</definedName>
    <definedName name="КоличествоДней" localSheetId="9">'Октябрь'!$L$4:$L$33</definedName>
    <definedName name="КоличествоДней" localSheetId="8">'Сентябрь'!$L$4:$L$33</definedName>
    <definedName name="КоличествоДней" localSheetId="1">'Февраль'!$L$4:$L$33</definedName>
    <definedName name="КоличествоДней">'Январь'!$L$4:$L$33</definedName>
    <definedName name="МайВс1">DATE(КалендарныйГод,5,1)-WEEKDAY(DATE(КалендарныйГод,5,1))+1</definedName>
    <definedName name="МарВс1">DATE(КалендарныйГод,3,1)-WEEKDAY(DATE(КалендарныйГод,3,1))+1</definedName>
    <definedName name="НояВс1">DATE(КалендарныйГод,11,1)-WEEKDAY(DATE(КалендарныйГод,11,1))+1</definedName>
    <definedName name="_xlnm.Print_Area" localSheetId="7">'Август'!$A$1:$N$33</definedName>
    <definedName name="_xlnm.Print_Area" localSheetId="3">'Апрель'!$A$1:$N$33</definedName>
    <definedName name="_xlnm.Print_Area" localSheetId="11">'Декабрь'!$A$1:$N$33</definedName>
    <definedName name="_xlnm.Print_Area" localSheetId="6">'Июль'!$A$1:$N$33</definedName>
    <definedName name="_xlnm.Print_Area" localSheetId="5">'Июнь'!$A$1:$N$33</definedName>
    <definedName name="_xlnm.Print_Area" localSheetId="4">'Май'!$A$1:$N$33</definedName>
    <definedName name="_xlnm.Print_Area" localSheetId="2">'Март'!$A$1:$N$33</definedName>
    <definedName name="_xlnm.Print_Area" localSheetId="10">'Ноябрь'!$A$1:$N$33</definedName>
    <definedName name="_xlnm.Print_Area" localSheetId="9">'Октябрь'!$A$1:$N$33</definedName>
    <definedName name="_xlnm.Print_Area" localSheetId="8">'Сентябрь'!$A$1:$N$33</definedName>
    <definedName name="_xlnm.Print_Area" localSheetId="1">'Февраль'!$A$1:$N$33</definedName>
    <definedName name="_xlnm.Print_Area" localSheetId="0">'Январь'!$A$1:$N$33</definedName>
    <definedName name="ОктВс1">DATE(КалендарныйГод,10,1)-WEEKDAY(DATE(КалендарныйГод,10,1))+1</definedName>
    <definedName name="СенВс1">DATE(КалендарныйГод,9,1)-WEEKDAY(DATE(КалендарныйГод,9,1))+1</definedName>
    <definedName name="ТаблицаВажныхДат" localSheetId="7">'Август'!$L$4:$M$8</definedName>
    <definedName name="ТаблицаВажныхДат" localSheetId="3">'Апрель'!$L$4:$M$8</definedName>
    <definedName name="ТаблицаВажныхДат" localSheetId="11">'Декабрь'!$L$4:$M$8</definedName>
    <definedName name="ТаблицаВажныхДат" localSheetId="6">'Июль'!$L$4:$M$8</definedName>
    <definedName name="ТаблицаВажныхДат" localSheetId="5">'Июнь'!$L$4:$M$8</definedName>
    <definedName name="ТаблицаВажныхДат" localSheetId="4">'Май'!$L$4:$M$8</definedName>
    <definedName name="ТаблицаВажныхДат" localSheetId="2">'Март'!$L$4:$M$8</definedName>
    <definedName name="ТаблицаВажныхДат" localSheetId="10">'Ноябрь'!$L$4:$M$8</definedName>
    <definedName name="ТаблицаВажныхДат" localSheetId="9">'Октябрь'!$L$4:$M$8</definedName>
    <definedName name="ТаблицаВажныхДат" localSheetId="8">'Сентябрь'!$L$4:$M$8</definedName>
    <definedName name="ТаблицаВажныхДат" localSheetId="1">'Февраль'!$L$4:$M$8</definedName>
    <definedName name="ТаблицаВажныхДат">'Январь'!$L$4:$M$8</definedName>
    <definedName name="ФевВс1">DATE(КалендарныйГод,2,1)-WEEKDAY(DATE(КалендарныйГод,2,1))+1</definedName>
    <definedName name="ЯнвВс1">DATE(КалендарныйГод,1,1)-WEEKDAY(DATE(КалендарныйГод,1,1))+1</definedName>
  </definedNames>
  <calcPr fullCalcOnLoad="1"/>
</workbook>
</file>

<file path=xl/sharedStrings.xml><?xml version="1.0" encoding="utf-8"?>
<sst xmlns="http://schemas.openxmlformats.org/spreadsheetml/2006/main" count="184" uniqueCount="25">
  <si>
    <t>ЯНВ</t>
  </si>
  <si>
    <t>РАСПИСАНИЕ НА НЕДЕЛЮ</t>
  </si>
  <si>
    <t>ПН</t>
  </si>
  <si>
    <t>ВТ</t>
  </si>
  <si>
    <t>СР</t>
  </si>
  <si>
    <t>ЧТ</t>
  </si>
  <si>
    <t>ПТ</t>
  </si>
  <si>
    <t>СБ</t>
  </si>
  <si>
    <t>ОКТ</t>
  </si>
  <si>
    <t>НОЯ</t>
  </si>
  <si>
    <t>ДЕК</t>
  </si>
  <si>
    <t>ФЕВ</t>
  </si>
  <si>
    <t>МАР</t>
  </si>
  <si>
    <t>АПР</t>
  </si>
  <si>
    <t>МАЙ</t>
  </si>
  <si>
    <t>ИЮН</t>
  </si>
  <si>
    <t>ИЮЛ</t>
  </si>
  <si>
    <t>АВГ</t>
  </si>
  <si>
    <t>СЕН</t>
  </si>
  <si>
    <t>BC</t>
  </si>
  <si>
    <t>СОБЫТИЯ</t>
  </si>
  <si>
    <t>Поездка на экскурсию</t>
  </si>
  <si>
    <t>День рождения мамы</t>
  </si>
  <si>
    <t>День рождения папы</t>
  </si>
  <si>
    <t>День рождения бабушки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</si>
</sst>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"/>
  </numFmts>
  <fonts count="59">
    <font>
      <sz val="10"/>
      <color theme="1"/>
      <name val="Arial"/>
      <family val="2"/>
    </font>
    <font>
      <sz val="11"/>
      <color indexed="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26"/>
      <color indexed="49"/>
      <name val="Arial"/>
      <family val="2"/>
    </font>
    <font>
      <b/>
      <sz val="24"/>
      <color indexed="49"/>
      <name val="Arial"/>
      <family val="2"/>
    </font>
    <font>
      <b/>
      <sz val="17"/>
      <color indexed="49"/>
      <name val="Arial"/>
      <family val="2"/>
    </font>
    <font>
      <b/>
      <sz val="12"/>
      <color indexed="49"/>
      <name val="Arial"/>
      <family val="2"/>
    </font>
    <font>
      <sz val="10"/>
      <color indexed="9"/>
      <name val="Arial"/>
      <family val="2"/>
    </font>
    <font>
      <sz val="8.5"/>
      <color indexed="8"/>
      <name val="Arial"/>
      <family val="2"/>
    </font>
    <font>
      <b/>
      <sz val="8.5"/>
      <color indexed="8"/>
      <name val="Arial"/>
      <family val="2"/>
    </font>
    <font>
      <sz val="10.5"/>
      <color indexed="63"/>
      <name val="Arial"/>
      <family val="2"/>
    </font>
    <font>
      <b/>
      <sz val="10"/>
      <color indexed="8"/>
      <name val="Arial"/>
      <family val="2"/>
    </font>
    <font>
      <sz val="12"/>
      <color indexed="49"/>
      <name val="Arial"/>
      <family val="2"/>
    </font>
    <font>
      <sz val="12"/>
      <color indexed="56"/>
      <name val="Arial"/>
      <family val="2"/>
    </font>
    <font>
      <b/>
      <sz val="10.5"/>
      <name val="Arial"/>
      <family val="2"/>
    </font>
    <font>
      <b/>
      <sz val="10"/>
      <color indexed="49"/>
      <name val="Arial"/>
      <family val="2"/>
    </font>
    <font>
      <sz val="10"/>
      <color indexed="63"/>
      <name val="Arial"/>
      <family val="2"/>
    </font>
    <font>
      <sz val="12"/>
      <color indexed="63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b/>
      <sz val="24"/>
      <color theme="4"/>
      <name val="Arial"/>
      <family val="2"/>
    </font>
    <font>
      <b/>
      <sz val="17"/>
      <color theme="4"/>
      <name val="Arial"/>
      <family val="2"/>
    </font>
    <font>
      <b/>
      <sz val="12"/>
      <color theme="4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sz val="26"/>
      <color theme="4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i/>
      <sz val="11"/>
      <color rgb="FF7F7F7F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sz val="11"/>
      <color rgb="FF006100"/>
      <name val="Arial"/>
      <family val="2"/>
    </font>
    <font>
      <sz val="10"/>
      <color theme="0"/>
      <name val="Arial"/>
      <family val="2"/>
    </font>
    <font>
      <sz val="8.5"/>
      <color theme="1"/>
      <name val="Arial"/>
      <family val="2"/>
    </font>
    <font>
      <b/>
      <sz val="8.5"/>
      <color theme="1"/>
      <name val="Arial"/>
      <family val="2"/>
    </font>
    <font>
      <sz val="10.5"/>
      <color theme="1" tint="0.24998000264167786"/>
      <name val="Arial"/>
      <family val="2"/>
    </font>
    <font>
      <b/>
      <sz val="10"/>
      <color theme="1"/>
      <name val="Arial"/>
      <family val="2"/>
    </font>
    <font>
      <sz val="12"/>
      <color theme="4"/>
      <name val="Arial"/>
      <family val="2"/>
    </font>
    <font>
      <sz val="12"/>
      <color rgb="FF002060"/>
      <name val="Arial"/>
      <family val="2"/>
    </font>
    <font>
      <b/>
      <sz val="10"/>
      <color rgb="FF39B5D4"/>
      <name val="Arial"/>
      <family val="2"/>
    </font>
    <font>
      <b/>
      <sz val="10"/>
      <color theme="4"/>
      <name val="Arial"/>
      <family val="2"/>
    </font>
    <font>
      <sz val="10"/>
      <color theme="1" tint="0.24998000264167786"/>
      <name val="Arial"/>
      <family val="2"/>
    </font>
    <font>
      <sz val="12"/>
      <color theme="1" tint="0.24998000264167786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theme="4" tint="0.7999799847602844"/>
      </left>
      <right style="thin">
        <color theme="0"/>
      </right>
      <top/>
      <bottom/>
    </border>
    <border>
      <left/>
      <right style="thin">
        <color theme="4" tint="0.7999799847602844"/>
      </right>
      <top/>
      <bottom/>
    </border>
    <border>
      <left/>
      <right style="thin">
        <color theme="4" tint="0.7999200224876404"/>
      </right>
      <top/>
      <bottom/>
    </border>
    <border>
      <left style="thin">
        <color theme="4" tint="0.7999799847602844"/>
      </left>
      <right style="thin">
        <color theme="0"/>
      </right>
      <top/>
      <bottom style="thin">
        <color theme="0"/>
      </bottom>
    </border>
    <border>
      <left style="thin">
        <color theme="4" tint="0.7999799847602844"/>
      </left>
      <right style="thin">
        <color theme="0"/>
      </right>
      <top/>
      <bottom style="thin">
        <color theme="4" tint="0.7999500036239624"/>
      </bottom>
    </border>
    <border>
      <left style="thin">
        <color theme="4" tint="0.7999799847602844"/>
      </left>
      <right style="thin">
        <color theme="0"/>
      </right>
      <top style="thin">
        <color theme="0"/>
      </top>
      <bottom/>
    </border>
    <border>
      <left/>
      <right/>
      <top/>
      <bottom style="thin">
        <color theme="4" tint="0.7999799847602844"/>
      </bottom>
    </border>
    <border>
      <left/>
      <right/>
      <top/>
      <bottom style="thin">
        <color theme="4" tint="0.7999500036239624"/>
      </bottom>
    </border>
    <border>
      <left/>
      <right/>
      <top/>
      <bottom style="thin">
        <color theme="5"/>
      </bottom>
    </border>
    <border>
      <left/>
      <right/>
      <top style="thin">
        <color theme="5"/>
      </top>
      <bottom style="thin">
        <color theme="5"/>
      </bottom>
    </border>
    <border>
      <left/>
      <right/>
      <top style="thin">
        <color theme="5"/>
      </top>
      <bottom style="thin">
        <color theme="4" tint="0.7999799847602844"/>
      </bottom>
    </border>
    <border>
      <left/>
      <right/>
      <top style="thin">
        <color theme="4" tint="0.7999500036239624"/>
      </top>
      <bottom/>
    </border>
    <border>
      <left/>
      <right style="thin">
        <color theme="4" tint="0.7999200224876404"/>
      </right>
      <top style="thin">
        <color theme="4" tint="0.7999500036239624"/>
      </top>
      <bottom/>
    </border>
    <border>
      <left/>
      <right style="thin">
        <color theme="4" tint="0.7999200224876404"/>
      </right>
      <top/>
      <bottom style="thin">
        <color theme="4" tint="0.7999500036239624"/>
      </bottom>
    </border>
    <border>
      <left style="thin">
        <color theme="4" tint="0.7999799847602844"/>
      </left>
      <right/>
      <top/>
      <bottom/>
    </border>
    <border>
      <left style="thin">
        <color theme="4" tint="0.7999799847602844"/>
      </left>
      <right/>
      <top/>
      <bottom style="thin">
        <color theme="4" tint="0.7999500036239624"/>
      </bottom>
    </border>
    <border>
      <left style="thin">
        <color theme="4" tint="0.7999799847602844"/>
      </left>
      <right/>
      <top style="thin">
        <color theme="4" tint="0.7999500036239624"/>
      </top>
      <bottom/>
    </border>
    <border>
      <left/>
      <right style="thin">
        <color theme="4" tint="0.7999500036239624"/>
      </right>
      <top style="thin">
        <color theme="5"/>
      </top>
      <bottom style="thin">
        <color theme="5"/>
      </bottom>
    </border>
    <border>
      <left/>
      <right style="thin">
        <color theme="4" tint="0.7999500036239624"/>
      </right>
      <top style="thin">
        <color theme="5"/>
      </top>
      <bottom style="thin">
        <color theme="4" tint="0.7999799847602844"/>
      </bottom>
    </border>
    <border>
      <left/>
      <right/>
      <top style="thin">
        <color theme="4" tint="0.7999799847602844"/>
      </top>
      <bottom style="thin">
        <color theme="5"/>
      </bottom>
    </border>
    <border>
      <left/>
      <right style="thin">
        <color theme="4" tint="0.7999500036239624"/>
      </right>
      <top style="thin">
        <color theme="4" tint="0.7999799847602844"/>
      </top>
      <bottom style="thin">
        <color theme="5"/>
      </bottom>
    </border>
    <border>
      <left style="thin">
        <color theme="0"/>
      </left>
      <right/>
      <top/>
      <bottom/>
    </border>
    <border>
      <left/>
      <right style="thin">
        <color theme="0"/>
      </right>
      <top/>
      <bottom/>
    </border>
    <border>
      <left style="thin">
        <color theme="0"/>
      </left>
      <right/>
      <top/>
      <bottom style="thin">
        <color theme="0"/>
      </bottom>
    </border>
    <border>
      <left/>
      <right style="thin">
        <color theme="0"/>
      </right>
      <top/>
      <bottom style="thin">
        <color theme="0"/>
      </bottom>
    </border>
    <border>
      <left style="thin">
        <color theme="0"/>
      </left>
      <right/>
      <top/>
      <bottom style="thin">
        <color theme="4" tint="0.7999500036239624"/>
      </bottom>
    </border>
    <border>
      <left/>
      <right style="thin">
        <color theme="0"/>
      </right>
      <top/>
      <bottom style="thin">
        <color theme="4" tint="0.7999500036239624"/>
      </bottom>
    </border>
    <border>
      <left/>
      <right style="thin">
        <color theme="4" tint="0.7999200224876404"/>
      </right>
      <top/>
      <bottom style="thin">
        <color theme="0"/>
      </bottom>
    </border>
    <border>
      <left style="thin">
        <color theme="0"/>
      </left>
      <right/>
      <top style="thin">
        <color theme="0"/>
      </top>
      <bottom/>
    </border>
    <border>
      <left/>
      <right style="thin">
        <color theme="0"/>
      </right>
      <top style="thin">
        <color theme="0"/>
      </top>
      <bottom/>
    </border>
    <border>
      <left/>
      <right style="thin">
        <color theme="4" tint="0.7999200224876404"/>
      </right>
      <top style="thin">
        <color theme="0"/>
      </top>
      <bottom/>
    </border>
    <border>
      <left style="thin">
        <color theme="4" tint="0.7999200224876404"/>
      </left>
      <right/>
      <top style="thin">
        <color theme="4" tint="0.7999799847602844"/>
      </top>
      <bottom/>
    </border>
    <border>
      <left style="thin">
        <color theme="4" tint="0.7999200224876404"/>
      </left>
      <right/>
      <top/>
      <bottom/>
    </border>
    <border>
      <left style="thin">
        <color theme="4" tint="0.7999200224876404"/>
      </left>
      <right/>
      <top style="thin">
        <color theme="4" tint="0.7998899817466736"/>
      </top>
      <bottom/>
    </border>
    <border>
      <left/>
      <right/>
      <top style="thin">
        <color theme="4" tint="0.7998899817466736"/>
      </top>
      <bottom/>
    </border>
    <border>
      <left style="thin">
        <color theme="4" tint="0.7999200224876404"/>
      </left>
      <right/>
      <top/>
      <bottom style="thin">
        <color theme="4" tint="0.7998899817466736"/>
      </bottom>
    </border>
    <border>
      <left/>
      <right/>
      <top/>
      <bottom style="thin">
        <color theme="4" tint="0.7998899817466736"/>
      </bottom>
    </border>
    <border>
      <left/>
      <right/>
      <top style="thin">
        <color theme="4" tint="0.7998899817466736"/>
      </top>
      <bottom style="thin">
        <color theme="5"/>
      </bottom>
    </border>
    <border>
      <left/>
      <right style="thin">
        <color theme="4" tint="0.7999500036239624"/>
      </right>
      <top style="thin">
        <color theme="4" tint="0.7998899817466736"/>
      </top>
      <bottom style="thin">
        <color theme="5"/>
      </bottom>
    </border>
    <border>
      <left/>
      <right style="thin">
        <color theme="4" tint="0.7998899817466736"/>
      </right>
      <top style="thin">
        <color theme="4" tint="0.7998899817466736"/>
      </top>
      <bottom/>
    </border>
    <border>
      <left/>
      <right style="thin">
        <color theme="4" tint="0.7998899817466736"/>
      </right>
      <top/>
      <bottom style="thin">
        <color theme="4" tint="0.7998899817466736"/>
      </bottom>
    </border>
    <border>
      <left/>
      <right style="thin">
        <color theme="4" tint="0.7998600006103516"/>
      </right>
      <top style="thin">
        <color theme="4" tint="0.7998600006103516"/>
      </top>
      <bottom/>
    </border>
    <border>
      <left/>
      <right style="thin">
        <color theme="4" tint="0.7998600006103516"/>
      </right>
      <top/>
      <bottom style="thin">
        <color theme="4" tint="0.7998899817466736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Protection="0">
      <alignment textRotation="90"/>
    </xf>
    <xf numFmtId="0" fontId="39" fillId="0" borderId="3" applyNumberFormat="0" applyFill="0" applyAlignment="0" applyProtection="0"/>
    <xf numFmtId="0" fontId="40" fillId="28" borderId="4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45" fillId="0" borderId="6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1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center" vertical="center"/>
    </xf>
    <xf numFmtId="0" fontId="48" fillId="20" borderId="7" xfId="0" applyFont="1" applyFill="1" applyBorder="1" applyAlignment="1">
      <alignment horizontal="left" indent="1"/>
    </xf>
    <xf numFmtId="0" fontId="0" fillId="0" borderId="8" xfId="0" applyFont="1" applyBorder="1" applyAlignment="1">
      <alignment/>
    </xf>
    <xf numFmtId="0" fontId="0" fillId="0" borderId="9" xfId="0" applyFont="1" applyBorder="1" applyAlignment="1">
      <alignment/>
    </xf>
    <xf numFmtId="0" fontId="49" fillId="33" borderId="10" xfId="0" applyFont="1" applyFill="1" applyBorder="1" applyAlignment="1">
      <alignment horizontal="left" vertical="top" indent="1"/>
    </xf>
    <xf numFmtId="0" fontId="49" fillId="33" borderId="11" xfId="0" applyFont="1" applyFill="1" applyBorder="1" applyAlignment="1">
      <alignment horizontal="left" vertical="top" indent="1"/>
    </xf>
    <xf numFmtId="49" fontId="50" fillId="33" borderId="7" xfId="0" applyNumberFormat="1" applyFont="1" applyFill="1" applyBorder="1" applyAlignment="1">
      <alignment horizontal="left" indent="1"/>
    </xf>
    <xf numFmtId="49" fontId="50" fillId="33" borderId="12" xfId="0" applyNumberFormat="1" applyFont="1" applyFill="1" applyBorder="1" applyAlignment="1">
      <alignment horizontal="left" indent="1"/>
    </xf>
    <xf numFmtId="164" fontId="51" fillId="0" borderId="0" xfId="0" applyNumberFormat="1" applyFont="1" applyFill="1" applyBorder="1" applyAlignment="1">
      <alignment horizontal="center" vertical="center" wrapText="1"/>
    </xf>
    <xf numFmtId="0" fontId="38" fillId="0" borderId="0" xfId="0" applyFont="1" applyBorder="1" applyAlignment="1">
      <alignment horizontal="right" vertical="center" textRotation="90"/>
    </xf>
    <xf numFmtId="0" fontId="52" fillId="0" borderId="0" xfId="0" applyFont="1" applyBorder="1" applyAlignment="1">
      <alignment horizontal="right" vertical="center"/>
    </xf>
    <xf numFmtId="0" fontId="52" fillId="0" borderId="13" xfId="0" applyFont="1" applyBorder="1" applyAlignment="1">
      <alignment horizontal="right" vertical="center"/>
    </xf>
    <xf numFmtId="0" fontId="53" fillId="0" borderId="0" xfId="0" applyFont="1" applyBorder="1" applyAlignment="1">
      <alignment horizontal="right" vertical="center" textRotation="90"/>
    </xf>
    <xf numFmtId="164" fontId="54" fillId="0" borderId="14" xfId="0" applyNumberFormat="1" applyFont="1" applyFill="1" applyBorder="1" applyAlignment="1">
      <alignment horizontal="right" vertical="center"/>
    </xf>
    <xf numFmtId="0" fontId="52" fillId="0" borderId="15" xfId="0" applyFont="1" applyBorder="1" applyAlignment="1">
      <alignment horizontal="center"/>
    </xf>
    <xf numFmtId="0" fontId="52" fillId="0" borderId="16" xfId="0" applyFont="1" applyBorder="1" applyAlignment="1">
      <alignment horizontal="center"/>
    </xf>
    <xf numFmtId="0" fontId="52" fillId="0" borderId="17" xfId="0" applyFont="1" applyBorder="1" applyAlignment="1">
      <alignment horizontal="center"/>
    </xf>
    <xf numFmtId="0" fontId="52" fillId="0" borderId="13" xfId="0" applyFont="1" applyBorder="1" applyAlignment="1">
      <alignment horizontal="center"/>
    </xf>
    <xf numFmtId="164" fontId="52" fillId="0" borderId="14" xfId="0" applyNumberFormat="1" applyFont="1" applyFill="1" applyBorder="1" applyAlignment="1">
      <alignment horizontal="center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164" fontId="15" fillId="0" borderId="14" xfId="0" applyNumberFormat="1" applyFont="1" applyFill="1" applyBorder="1" applyAlignment="1">
      <alignment horizontal="left" vertical="center" wrapText="1" indent="1"/>
    </xf>
    <xf numFmtId="0" fontId="0" fillId="0" borderId="20" xfId="0" applyFont="1" applyBorder="1" applyAlignment="1">
      <alignment/>
    </xf>
    <xf numFmtId="0" fontId="55" fillId="0" borderId="0" xfId="0" applyFont="1" applyAlignment="1">
      <alignment vertical="center" wrapText="1"/>
    </xf>
    <xf numFmtId="0" fontId="36" fillId="0" borderId="21" xfId="44" applyFill="1" applyBorder="1" applyAlignment="1">
      <alignment vertical="top"/>
    </xf>
    <xf numFmtId="0" fontId="36" fillId="0" borderId="22" xfId="44" applyFill="1" applyBorder="1" applyAlignment="1">
      <alignment vertical="top"/>
    </xf>
    <xf numFmtId="0" fontId="36" fillId="0" borderId="21" xfId="44" applyFill="1" applyBorder="1" applyAlignment="1">
      <alignment vertical="center" textRotation="90"/>
    </xf>
    <xf numFmtId="0" fontId="36" fillId="0" borderId="22" xfId="44" applyFill="1" applyBorder="1" applyAlignment="1">
      <alignment vertical="center" textRotation="90"/>
    </xf>
    <xf numFmtId="0" fontId="0" fillId="0" borderId="23" xfId="0" applyFont="1" applyBorder="1" applyAlignment="1">
      <alignment/>
    </xf>
    <xf numFmtId="0" fontId="36" fillId="0" borderId="21" xfId="44" applyFill="1" applyBorder="1" applyAlignment="1">
      <alignment vertical="top"/>
    </xf>
    <xf numFmtId="0" fontId="56" fillId="0" borderId="0" xfId="0" applyFont="1" applyAlignment="1">
      <alignment vertical="center" wrapText="1"/>
    </xf>
    <xf numFmtId="0" fontId="38" fillId="0" borderId="21" xfId="46" applyBorder="1" applyAlignment="1">
      <alignment horizontal="left" vertical="center"/>
    </xf>
    <xf numFmtId="0" fontId="38" fillId="0" borderId="0" xfId="46" applyAlignment="1">
      <alignment horizontal="left" vertical="center"/>
    </xf>
    <xf numFmtId="0" fontId="38" fillId="0" borderId="9" xfId="46" applyBorder="1" applyAlignment="1">
      <alignment horizontal="left" vertical="center"/>
    </xf>
    <xf numFmtId="0" fontId="57" fillId="0" borderId="16" xfId="0" applyFont="1" applyBorder="1" applyAlignment="1">
      <alignment horizontal="left"/>
    </xf>
    <xf numFmtId="0" fontId="57" fillId="0" borderId="24" xfId="0" applyFont="1" applyBorder="1" applyAlignment="1">
      <alignment horizontal="left"/>
    </xf>
    <xf numFmtId="164" fontId="58" fillId="0" borderId="17" xfId="0" applyNumberFormat="1" applyFont="1" applyFill="1" applyBorder="1" applyAlignment="1">
      <alignment horizontal="left"/>
    </xf>
    <xf numFmtId="164" fontId="58" fillId="0" borderId="25" xfId="0" applyNumberFormat="1" applyFont="1" applyFill="1" applyBorder="1" applyAlignment="1">
      <alignment horizontal="left"/>
    </xf>
    <xf numFmtId="0" fontId="57" fillId="0" borderId="17" xfId="0" applyFont="1" applyBorder="1" applyAlignment="1">
      <alignment horizontal="left"/>
    </xf>
    <xf numFmtId="0" fontId="57" fillId="0" borderId="25" xfId="0" applyFont="1" applyBorder="1" applyAlignment="1">
      <alignment horizontal="left"/>
    </xf>
    <xf numFmtId="0" fontId="57" fillId="0" borderId="26" xfId="0" applyFont="1" applyBorder="1" applyAlignment="1">
      <alignment horizontal="left"/>
    </xf>
    <xf numFmtId="0" fontId="57" fillId="0" borderId="27" xfId="0" applyFont="1" applyBorder="1" applyAlignment="1">
      <alignment horizontal="left"/>
    </xf>
    <xf numFmtId="49" fontId="50" fillId="33" borderId="28" xfId="0" applyNumberFormat="1" applyFont="1" applyFill="1" applyBorder="1" applyAlignment="1">
      <alignment horizontal="left" indent="1"/>
    </xf>
    <xf numFmtId="49" fontId="50" fillId="33" borderId="29" xfId="0" applyNumberFormat="1" applyFont="1" applyFill="1" applyBorder="1" applyAlignment="1">
      <alignment horizontal="left" indent="1"/>
    </xf>
    <xf numFmtId="0" fontId="49" fillId="33" borderId="30" xfId="0" applyFont="1" applyFill="1" applyBorder="1" applyAlignment="1">
      <alignment horizontal="left" vertical="top" indent="1"/>
    </xf>
    <xf numFmtId="0" fontId="49" fillId="33" borderId="31" xfId="0" applyFont="1" applyFill="1" applyBorder="1" applyAlignment="1">
      <alignment horizontal="left" vertical="top" indent="1"/>
    </xf>
    <xf numFmtId="0" fontId="49" fillId="33" borderId="32" xfId="0" applyFont="1" applyFill="1" applyBorder="1" applyAlignment="1">
      <alignment horizontal="left" vertical="top" indent="1"/>
    </xf>
    <xf numFmtId="0" fontId="49" fillId="33" borderId="33" xfId="0" applyFont="1" applyFill="1" applyBorder="1" applyAlignment="1">
      <alignment horizontal="left" vertical="top" indent="1"/>
    </xf>
    <xf numFmtId="49" fontId="50" fillId="33" borderId="28" xfId="0" applyNumberFormat="1" applyFont="1" applyFill="1" applyBorder="1" applyAlignment="1">
      <alignment horizontal="left" indent="1"/>
    </xf>
    <xf numFmtId="49" fontId="50" fillId="33" borderId="9" xfId="0" applyNumberFormat="1" applyFont="1" applyFill="1" applyBorder="1" applyAlignment="1">
      <alignment horizontal="left" indent="1"/>
    </xf>
    <xf numFmtId="0" fontId="49" fillId="33" borderId="34" xfId="0" applyFont="1" applyFill="1" applyBorder="1" applyAlignment="1">
      <alignment horizontal="left" vertical="top" indent="1"/>
    </xf>
    <xf numFmtId="49" fontId="50" fillId="33" borderId="28" xfId="0" applyNumberFormat="1" applyFont="1" applyFill="1" applyBorder="1" applyAlignment="1">
      <alignment horizontal="left" vertical="center" indent="1"/>
    </xf>
    <xf numFmtId="49" fontId="50" fillId="33" borderId="9" xfId="0" applyNumberFormat="1" applyFont="1" applyFill="1" applyBorder="1" applyAlignment="1">
      <alignment horizontal="left" vertical="center" indent="1"/>
    </xf>
    <xf numFmtId="164" fontId="49" fillId="33" borderId="32" xfId="0" applyNumberFormat="1" applyFont="1" applyFill="1" applyBorder="1" applyAlignment="1">
      <alignment horizontal="left" vertical="top" indent="1"/>
    </xf>
    <xf numFmtId="164" fontId="49" fillId="33" borderId="20" xfId="0" applyNumberFormat="1" applyFont="1" applyFill="1" applyBorder="1" applyAlignment="1">
      <alignment horizontal="left" vertical="top" indent="1"/>
    </xf>
    <xf numFmtId="164" fontId="49" fillId="33" borderId="30" xfId="0" applyNumberFormat="1" applyFont="1" applyFill="1" applyBorder="1" applyAlignment="1">
      <alignment horizontal="left" vertical="top" indent="1"/>
    </xf>
    <xf numFmtId="164" fontId="49" fillId="33" borderId="34" xfId="0" applyNumberFormat="1" applyFont="1" applyFill="1" applyBorder="1" applyAlignment="1">
      <alignment horizontal="left" vertical="top" indent="1"/>
    </xf>
    <xf numFmtId="49" fontId="50" fillId="33" borderId="9" xfId="0" applyNumberFormat="1" applyFont="1" applyFill="1" applyBorder="1" applyAlignment="1">
      <alignment horizontal="left" indent="1"/>
    </xf>
    <xf numFmtId="0" fontId="50" fillId="33" borderId="30" xfId="0" applyFont="1" applyFill="1" applyBorder="1" applyAlignment="1">
      <alignment horizontal="left" vertical="top" indent="1"/>
    </xf>
    <xf numFmtId="0" fontId="50" fillId="33" borderId="34" xfId="0" applyFont="1" applyFill="1" applyBorder="1" applyAlignment="1">
      <alignment horizontal="left" vertical="top" indent="1"/>
    </xf>
    <xf numFmtId="49" fontId="50" fillId="33" borderId="35" xfId="0" applyNumberFormat="1" applyFont="1" applyFill="1" applyBorder="1" applyAlignment="1">
      <alignment horizontal="left" indent="1"/>
    </xf>
    <xf numFmtId="49" fontId="50" fillId="33" borderId="36" xfId="0" applyNumberFormat="1" applyFont="1" applyFill="1" applyBorder="1" applyAlignment="1">
      <alignment horizontal="left" indent="1"/>
    </xf>
    <xf numFmtId="49" fontId="50" fillId="33" borderId="37" xfId="0" applyNumberFormat="1" applyFont="1" applyFill="1" applyBorder="1" applyAlignment="1">
      <alignment horizontal="left" indent="1"/>
    </xf>
    <xf numFmtId="0" fontId="38" fillId="0" borderId="38" xfId="47" applyBorder="1" applyAlignment="1">
      <alignment vertical="top"/>
    </xf>
    <xf numFmtId="0" fontId="38" fillId="0" borderId="39" xfId="47" applyBorder="1" applyAlignment="1">
      <alignment vertical="top"/>
    </xf>
    <xf numFmtId="0" fontId="48" fillId="20" borderId="28" xfId="0" applyFont="1" applyFill="1" applyBorder="1" applyAlignment="1">
      <alignment horizontal="left" indent="1"/>
    </xf>
    <xf numFmtId="0" fontId="48" fillId="20" borderId="9" xfId="0" applyFont="1" applyFill="1" applyBorder="1" applyAlignment="1">
      <alignment horizontal="left" indent="1"/>
    </xf>
    <xf numFmtId="0" fontId="48" fillId="20" borderId="29" xfId="0" applyFont="1" applyFill="1" applyBorder="1" applyAlignment="1">
      <alignment horizontal="left" indent="1"/>
    </xf>
    <xf numFmtId="0" fontId="37" fillId="0" borderId="40" xfId="45" applyBorder="1" applyAlignment="1">
      <alignment horizontal="left" vertical="center"/>
    </xf>
    <xf numFmtId="0" fontId="37" fillId="0" borderId="41" xfId="45" applyBorder="1" applyAlignment="1">
      <alignment horizontal="left" vertical="center"/>
    </xf>
    <xf numFmtId="0" fontId="37" fillId="0" borderId="42" xfId="45" applyBorder="1" applyAlignment="1">
      <alignment horizontal="left" vertical="center"/>
    </xf>
    <xf numFmtId="0" fontId="37" fillId="0" borderId="43" xfId="45" applyBorder="1" applyAlignment="1">
      <alignment horizontal="left" vertical="center"/>
    </xf>
    <xf numFmtId="0" fontId="38" fillId="0" borderId="40" xfId="47" applyBorder="1" applyAlignment="1">
      <alignment vertical="top"/>
    </xf>
    <xf numFmtId="0" fontId="57" fillId="0" borderId="44" xfId="0" applyFont="1" applyBorder="1" applyAlignment="1">
      <alignment horizontal="left"/>
    </xf>
    <xf numFmtId="0" fontId="57" fillId="0" borderId="45" xfId="0" applyFont="1" applyBorder="1" applyAlignment="1">
      <alignment horizontal="left"/>
    </xf>
    <xf numFmtId="0" fontId="37" fillId="0" borderId="46" xfId="45" applyFill="1" applyBorder="1" applyAlignment="1">
      <alignment horizontal="center" vertical="center"/>
    </xf>
    <xf numFmtId="0" fontId="37" fillId="0" borderId="47" xfId="45" applyFill="1" applyBorder="1" applyAlignment="1">
      <alignment horizontal="center" vertical="center"/>
    </xf>
    <xf numFmtId="0" fontId="37" fillId="0" borderId="48" xfId="45" applyBorder="1" applyAlignment="1">
      <alignment horizontal="center" vertical="center"/>
    </xf>
    <xf numFmtId="0" fontId="37" fillId="0" borderId="49" xfId="45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59">
    <dxf>
      <fill>
        <patternFill>
          <bgColor theme="4" tint="0.7999799847602844"/>
        </patternFill>
      </fill>
    </dxf>
    <dxf>
      <font>
        <b/>
        <i val="0"/>
        <color theme="1"/>
      </font>
      <fill>
        <patternFill patternType="solid">
          <bgColor theme="4" tint="0.7999799847602844"/>
        </patternFill>
      </fill>
      <border>
        <left/>
        <right/>
        <top/>
        <bottom/>
      </border>
    </dxf>
    <dxf>
      <font>
        <color theme="0" tint="-0.24993999302387238"/>
      </font>
    </dxf>
    <dxf>
      <font>
        <color theme="0" tint="-0.24993999302387238"/>
      </font>
    </dxf>
    <dxf>
      <fill>
        <patternFill>
          <bgColor theme="4" tint="0.7999799847602844"/>
        </patternFill>
      </fill>
    </dxf>
    <dxf>
      <font>
        <b/>
        <i val="0"/>
        <color theme="1"/>
      </font>
      <fill>
        <patternFill patternType="solid">
          <bgColor theme="4" tint="0.7999799847602844"/>
        </patternFill>
      </fill>
      <border>
        <left/>
        <right/>
        <top/>
        <bottom/>
      </border>
    </dxf>
    <dxf>
      <font>
        <color theme="0" tint="-0.24993999302387238"/>
      </font>
    </dxf>
    <dxf>
      <font>
        <color theme="0" tint="-0.24993999302387238"/>
      </font>
    </dxf>
    <dxf>
      <fill>
        <patternFill>
          <bgColor theme="4" tint="0.7999799847602844"/>
        </patternFill>
      </fill>
    </dxf>
    <dxf>
      <font>
        <b/>
        <i val="0"/>
        <color theme="1"/>
      </font>
      <fill>
        <patternFill patternType="solid">
          <bgColor theme="4" tint="0.7999799847602844"/>
        </patternFill>
      </fill>
      <border>
        <left/>
        <right/>
        <top/>
        <bottom/>
      </border>
    </dxf>
    <dxf>
      <font>
        <color theme="0" tint="-0.24993999302387238"/>
      </font>
    </dxf>
    <dxf>
      <font>
        <color theme="0" tint="-0.24993999302387238"/>
      </font>
    </dxf>
    <dxf>
      <fill>
        <patternFill>
          <bgColor theme="4" tint="0.7999799847602844"/>
        </patternFill>
      </fill>
    </dxf>
    <dxf>
      <font>
        <b/>
        <i val="0"/>
        <color theme="1"/>
      </font>
      <fill>
        <patternFill patternType="solid">
          <bgColor theme="4" tint="0.7999799847602844"/>
        </patternFill>
      </fill>
      <border>
        <left/>
        <right/>
        <top/>
        <bottom/>
      </border>
    </dxf>
    <dxf>
      <font>
        <color theme="0" tint="-0.24993999302387238"/>
      </font>
    </dxf>
    <dxf>
      <font>
        <color theme="0" tint="-0.24993999302387238"/>
      </font>
    </dxf>
    <dxf>
      <fill>
        <patternFill>
          <bgColor theme="4" tint="0.7999799847602844"/>
        </patternFill>
      </fill>
    </dxf>
    <dxf>
      <font>
        <b/>
        <i val="0"/>
        <color theme="1"/>
      </font>
      <fill>
        <patternFill patternType="solid">
          <bgColor theme="4" tint="0.7999799847602844"/>
        </patternFill>
      </fill>
      <border>
        <left/>
        <right/>
        <top/>
        <bottom/>
      </border>
    </dxf>
    <dxf>
      <font>
        <color theme="0" tint="-0.24993999302387238"/>
      </font>
    </dxf>
    <dxf>
      <font>
        <color theme="0" tint="-0.24993999302387238"/>
      </font>
    </dxf>
    <dxf>
      <fill>
        <patternFill>
          <bgColor theme="4" tint="0.7999799847602844"/>
        </patternFill>
      </fill>
    </dxf>
    <dxf>
      <font>
        <b/>
        <i val="0"/>
        <color theme="1"/>
      </font>
      <fill>
        <patternFill patternType="solid">
          <bgColor theme="4" tint="0.7999799847602844"/>
        </patternFill>
      </fill>
      <border>
        <left/>
        <right/>
        <top/>
        <bottom/>
      </border>
    </dxf>
    <dxf>
      <font>
        <color theme="0" tint="-0.24993999302387238"/>
      </font>
    </dxf>
    <dxf>
      <font>
        <color theme="0" tint="-0.24993999302387238"/>
      </font>
    </dxf>
    <dxf>
      <fill>
        <patternFill>
          <bgColor theme="4" tint="0.7999799847602844"/>
        </patternFill>
      </fill>
    </dxf>
    <dxf>
      <font>
        <b/>
        <i val="0"/>
        <color theme="1"/>
      </font>
      <fill>
        <patternFill patternType="solid">
          <bgColor theme="4" tint="0.7999799847602844"/>
        </patternFill>
      </fill>
      <border>
        <left/>
        <right/>
        <top/>
        <bottom/>
      </border>
    </dxf>
    <dxf>
      <font>
        <color theme="0" tint="-0.24993999302387238"/>
      </font>
    </dxf>
    <dxf>
      <font>
        <color theme="0" tint="-0.24993999302387238"/>
      </font>
    </dxf>
    <dxf>
      <fill>
        <patternFill>
          <bgColor theme="4" tint="0.7999799847602844"/>
        </patternFill>
      </fill>
    </dxf>
    <dxf>
      <font>
        <b/>
        <i val="0"/>
        <color theme="1"/>
      </font>
      <fill>
        <patternFill patternType="solid">
          <bgColor theme="4" tint="0.7999799847602844"/>
        </patternFill>
      </fill>
      <border>
        <left/>
        <right/>
        <top/>
        <bottom/>
      </border>
    </dxf>
    <dxf>
      <font>
        <color theme="0" tint="-0.24993999302387238"/>
      </font>
    </dxf>
    <dxf>
      <font>
        <color theme="0" tint="-0.24993999302387238"/>
      </font>
    </dxf>
    <dxf>
      <fill>
        <patternFill>
          <bgColor theme="4" tint="0.7999799847602844"/>
        </patternFill>
      </fill>
    </dxf>
    <dxf>
      <font>
        <b/>
        <i val="0"/>
        <color theme="1"/>
      </font>
      <fill>
        <patternFill patternType="solid">
          <bgColor theme="4" tint="0.7999799847602844"/>
        </patternFill>
      </fill>
      <border>
        <left/>
        <right/>
        <top/>
        <bottom/>
      </border>
    </dxf>
    <dxf>
      <font>
        <color theme="0" tint="-0.24993999302387238"/>
      </font>
    </dxf>
    <dxf>
      <font>
        <color theme="0" tint="-0.24993999302387238"/>
      </font>
    </dxf>
    <dxf>
      <fill>
        <patternFill>
          <bgColor theme="4" tint="0.7999799847602844"/>
        </patternFill>
      </fill>
    </dxf>
    <dxf>
      <font>
        <b/>
        <i val="0"/>
        <color theme="1"/>
      </font>
      <fill>
        <patternFill patternType="solid">
          <bgColor theme="4" tint="0.7999799847602844"/>
        </patternFill>
      </fill>
      <border>
        <left/>
        <right/>
        <top/>
        <bottom/>
      </border>
    </dxf>
    <dxf>
      <font>
        <color theme="0" tint="-0.24993999302387238"/>
      </font>
    </dxf>
    <dxf>
      <font>
        <color theme="0" tint="-0.24993999302387238"/>
      </font>
    </dxf>
    <dxf>
      <fill>
        <patternFill>
          <bgColor theme="4" tint="0.7999799847602844"/>
        </patternFill>
      </fill>
    </dxf>
    <dxf>
      <font>
        <b/>
        <i val="0"/>
        <color theme="1"/>
      </font>
      <fill>
        <patternFill patternType="solid">
          <bgColor theme="4" tint="0.7999799847602844"/>
        </patternFill>
      </fill>
      <border>
        <left/>
        <right/>
        <top/>
        <bottom/>
      </border>
    </dxf>
    <dxf>
      <font>
        <color theme="0" tint="-0.24993999302387238"/>
      </font>
    </dxf>
    <dxf>
      <font>
        <color theme="0" tint="-0.24993999302387238"/>
      </font>
    </dxf>
    <dxf>
      <fill>
        <patternFill>
          <bgColor theme="4" tint="0.7999799847602844"/>
        </patternFill>
      </fill>
    </dxf>
    <dxf>
      <font>
        <b/>
        <i val="0"/>
        <color theme="1"/>
      </font>
      <fill>
        <patternFill patternType="solid">
          <bgColor theme="4" tint="0.7999799847602844"/>
        </patternFill>
      </fill>
      <border>
        <left/>
        <right/>
        <top/>
        <bottom/>
      </border>
    </dxf>
    <dxf>
      <font>
        <color theme="0" tint="-0.24993999302387238"/>
      </font>
    </dxf>
    <dxf>
      <font>
        <color theme="0" tint="-0.24993999302387238"/>
      </font>
    </dxf>
    <dxf>
      <font>
        <b/>
        <color theme="1"/>
      </font>
      <border>
        <left/>
        <right/>
        <top/>
        <bottom/>
      </border>
    </dxf>
    <dxf>
      <font>
        <b/>
        <color theme="1"/>
      </font>
      <border>
        <top style="double">
          <color theme="6" tint="-0.24993999302387238"/>
        </top>
      </border>
    </dxf>
    <dxf>
      <font>
        <color theme="0"/>
      </font>
      <fill>
        <patternFill patternType="solid">
          <fgColor theme="4"/>
          <bgColor theme="7"/>
        </patternFill>
      </fill>
      <border>
        <left/>
        <right/>
        <top/>
        <bottom/>
      </border>
    </dxf>
    <dxf>
      <font>
        <color theme="1"/>
      </font>
      <fill>
        <patternFill>
          <bgColor theme="0"/>
        </patternFill>
      </fill>
      <border>
        <left style="dashDotDot">
          <color theme="9" tint="0.5999600291252136"/>
        </left>
        <right style="dashDotDot">
          <color theme="9" tint="0.5999600291252136"/>
        </right>
        <top/>
        <bottom/>
      </border>
    </dxf>
    <dxf>
      <fill>
        <patternFill patternType="solid">
          <fgColor theme="9" tint="0.7999799847602844"/>
          <bgColor theme="9" tint="0.7999799847602844"/>
        </patternFill>
      </fill>
    </dxf>
    <dxf>
      <fill>
        <patternFill patternType="solid">
          <fgColor theme="9" tint="0.7999799847602844"/>
          <bgColor theme="9" tint="0.7999799847602844"/>
        </patternFill>
      </fill>
    </dxf>
    <dxf>
      <font>
        <b/>
        <color theme="9" tint="-0.24997000396251678"/>
      </font>
    </dxf>
    <dxf>
      <font>
        <b/>
        <color theme="9" tint="-0.24997000396251678"/>
      </font>
    </dxf>
    <dxf>
      <font>
        <b/>
        <color theme="9" tint="-0.24997000396251678"/>
      </font>
      <border>
        <top style="thin">
          <color theme="9"/>
        </top>
      </border>
    </dxf>
    <dxf>
      <font>
        <b/>
        <color theme="9" tint="-0.24997000396251678"/>
      </font>
      <border>
        <bottom style="thin">
          <color theme="9"/>
        </bottom>
      </border>
    </dxf>
    <dxf>
      <font>
        <color theme="9" tint="-0.24997000396251678"/>
      </font>
      <fill>
        <patternFill>
          <bgColor theme="0"/>
        </patternFill>
      </fill>
      <border>
        <top style="thin">
          <color theme="9"/>
        </top>
        <bottom style="thin">
          <color theme="9"/>
        </bottom>
      </border>
    </dxf>
  </dxfs>
  <tableStyles count="1" defaultTableStyle="TableStyleMedium2" defaultPivotStyle="PivotStyleLight16">
    <tableStyle name="СтильТаблицыСветлый7 2" pivot="0" count="7">
      <tableStyleElement type="wholeTable" dxfId="58"/>
      <tableStyleElement type="headerRow" dxfId="57"/>
      <tableStyleElement type="totalRow" dxfId="56"/>
      <tableStyleElement type="firstColumn" dxfId="55"/>
      <tableStyleElement type="lastColumn" dxfId="54"/>
      <tableStyleElement type="firstRowStripe" dxfId="53"/>
      <tableStyleElement type="firstColumnStripe" dxfId="52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Assignment Calenda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39B5D4"/>
      </a:accent1>
      <a:accent2>
        <a:srgbClr val="FFCCCC"/>
      </a:accent2>
      <a:accent3>
        <a:srgbClr val="4DBB68"/>
      </a:accent3>
      <a:accent4>
        <a:srgbClr val="FFFB59"/>
      </a:accent4>
      <a:accent5>
        <a:srgbClr val="FF9900"/>
      </a:accent5>
      <a:accent6>
        <a:srgbClr val="AC75D5"/>
      </a:accent6>
      <a:hlink>
        <a:srgbClr val="57B5D4"/>
      </a:hlink>
      <a:folHlink>
        <a:srgbClr val="BA4F8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2:P33"/>
  <sheetViews>
    <sheetView showGridLines="0" tabSelected="1" zoomScalePageLayoutView="84" workbookViewId="0" topLeftCell="A1">
      <selection activeCell="N2" sqref="N2:N3"/>
    </sheetView>
  </sheetViews>
  <sheetFormatPr defaultColWidth="8.7109375" defaultRowHeight="16.5" customHeight="1"/>
  <cols>
    <col min="1" max="1" width="2.28125" style="1" customWidth="1"/>
    <col min="2" max="2" width="17.57421875" style="1" customWidth="1"/>
    <col min="3" max="10" width="9.140625" style="1" customWidth="1"/>
    <col min="11" max="11" width="7.28125" style="1" customWidth="1"/>
    <col min="12" max="12" width="3.8515625" style="0" customWidth="1"/>
    <col min="13" max="13" width="51.421875" style="1" customWidth="1"/>
    <col min="14" max="14" width="10.7109375" style="1" customWidth="1"/>
    <col min="15" max="15" width="2.28125" style="0" customWidth="1"/>
    <col min="16" max="16" width="41.00390625" style="0" bestFit="1" customWidth="1"/>
    <col min="17" max="16384" width="8.7109375" style="1" customWidth="1"/>
  </cols>
  <sheetData>
    <row r="1" ht="11.25" customHeight="1"/>
    <row r="2" spans="1:16" ht="18" customHeight="1">
      <c r="A2" s="4"/>
      <c r="B2" s="30"/>
      <c r="C2" s="21"/>
      <c r="D2" s="21"/>
      <c r="E2" s="21"/>
      <c r="F2" s="21"/>
      <c r="G2" s="21"/>
      <c r="H2" s="21"/>
      <c r="I2" s="21"/>
      <c r="J2" s="22"/>
      <c r="K2" s="70" t="s">
        <v>20</v>
      </c>
      <c r="L2" s="71">
        <v>2013</v>
      </c>
      <c r="M2" s="71"/>
      <c r="N2" s="77">
        <v>2019</v>
      </c>
      <c r="P2" s="32"/>
    </row>
    <row r="3" spans="1:16" ht="21" customHeight="1">
      <c r="A3" s="4"/>
      <c r="B3" s="31" t="s">
        <v>0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19</v>
      </c>
      <c r="J3" s="5"/>
      <c r="K3" s="72"/>
      <c r="L3" s="73"/>
      <c r="M3" s="73"/>
      <c r="N3" s="78"/>
      <c r="P3" s="32"/>
    </row>
    <row r="4" spans="1:16" ht="18" customHeight="1">
      <c r="A4" s="4"/>
      <c r="B4" s="31"/>
      <c r="C4" s="10">
        <f>IF(DAY(ЯнвВс1)=1,ЯнвВс1-6,ЯнвВс1+1)</f>
        <v>43465</v>
      </c>
      <c r="D4" s="10">
        <f>IF(DAY(ЯнвВс1)=1,ЯнвВс1-5,ЯнвВс1+2)</f>
        <v>43466</v>
      </c>
      <c r="E4" s="10">
        <f>IF(DAY(ЯнвВс1)=1,ЯнвВс1-4,ЯнвВс1+3)</f>
        <v>43467</v>
      </c>
      <c r="F4" s="10">
        <f>IF(DAY(ЯнвВс1)=1,ЯнвВс1-3,ЯнвВс1+4)</f>
        <v>43468</v>
      </c>
      <c r="G4" s="10">
        <f>IF(DAY(ЯнвВс1)=1,ЯнвВс1-2,ЯнвВс1+5)</f>
        <v>43469</v>
      </c>
      <c r="H4" s="10">
        <f>IF(DAY(ЯнвВс1)=1,ЯнвВс1-1,ЯнвВс1+6)</f>
        <v>43470</v>
      </c>
      <c r="I4" s="10">
        <f>IF(DAY(ЯнвВс1)=1,ЯнвВс1,ЯнвВс1+7)</f>
        <v>43471</v>
      </c>
      <c r="J4" s="5"/>
      <c r="K4" s="74"/>
      <c r="L4" s="16">
        <v>10</v>
      </c>
      <c r="M4" s="75" t="s">
        <v>22</v>
      </c>
      <c r="N4" s="76"/>
      <c r="P4" s="25"/>
    </row>
    <row r="5" spans="1:16" ht="18" customHeight="1">
      <c r="A5" s="4"/>
      <c r="B5" s="26"/>
      <c r="C5" s="10">
        <f>IF(DAY(ЯнвВс1)=1,ЯнвВс1+1,ЯнвВс1+8)</f>
        <v>43472</v>
      </c>
      <c r="D5" s="10">
        <f>IF(DAY(ЯнвВс1)=1,ЯнвВс1+2,ЯнвВс1+9)</f>
        <v>43473</v>
      </c>
      <c r="E5" s="10">
        <f>IF(DAY(ЯнвВс1)=1,ЯнвВс1+3,ЯнвВс1+10)</f>
        <v>43474</v>
      </c>
      <c r="F5" s="10">
        <f>IF(DAY(ЯнвВс1)=1,ЯнвВс1+4,ЯнвВс1+11)</f>
        <v>43475</v>
      </c>
      <c r="G5" s="10">
        <f>IF(DAY(ЯнвВс1)=1,ЯнвВс1+5,ЯнвВс1+12)</f>
        <v>43476</v>
      </c>
      <c r="H5" s="10">
        <f>IF(DAY(ЯнвВс1)=1,ЯнвВс1+6,ЯнвВс1+13)</f>
        <v>43477</v>
      </c>
      <c r="I5" s="10">
        <f>IF(DAY(ЯнвВс1)=1,ЯнвВс1+7,ЯнвВс1+14)</f>
        <v>43478</v>
      </c>
      <c r="J5" s="5"/>
      <c r="K5" s="66"/>
      <c r="L5" s="17">
        <v>12</v>
      </c>
      <c r="M5" s="36" t="s">
        <v>21</v>
      </c>
      <c r="N5" s="37"/>
      <c r="P5" s="25"/>
    </row>
    <row r="6" spans="1:14" ht="18" customHeight="1">
      <c r="A6" s="4"/>
      <c r="B6" s="26"/>
      <c r="C6" s="10">
        <f>IF(DAY(ЯнвВс1)=1,ЯнвВс1+8,ЯнвВс1+15)</f>
        <v>43479</v>
      </c>
      <c r="D6" s="10">
        <f>IF(DAY(ЯнвВс1)=1,ЯнвВс1+9,ЯнвВс1+16)</f>
        <v>43480</v>
      </c>
      <c r="E6" s="10">
        <f>IF(DAY(ЯнвВс1)=1,ЯнвВс1+10,ЯнвВс1+17)</f>
        <v>43481</v>
      </c>
      <c r="F6" s="10">
        <f>IF(DAY(ЯнвВс1)=1,ЯнвВс1+11,ЯнвВс1+18)</f>
        <v>43482</v>
      </c>
      <c r="G6" s="10">
        <f>IF(DAY(ЯнвВс1)=1,ЯнвВс1+12,ЯнвВс1+19)</f>
        <v>43483</v>
      </c>
      <c r="H6" s="10">
        <f>IF(DAY(ЯнвВс1)=1,ЯнвВс1+13,ЯнвВс1+20)</f>
        <v>43484</v>
      </c>
      <c r="I6" s="10">
        <f>IF(DAY(ЯнвВс1)=1,ЯнвВс1+14,ЯнвВс1+21)</f>
        <v>43485</v>
      </c>
      <c r="J6" s="5"/>
      <c r="K6" s="66"/>
      <c r="L6" s="17">
        <v>25</v>
      </c>
      <c r="M6" s="36" t="s">
        <v>23</v>
      </c>
      <c r="N6" s="37"/>
    </row>
    <row r="7" spans="1:14" ht="18" customHeight="1">
      <c r="A7" s="4"/>
      <c r="B7" s="26"/>
      <c r="C7" s="10">
        <f>IF(DAY(ЯнвВс1)=1,ЯнвВс1+15,ЯнвВс1+22)</f>
        <v>43486</v>
      </c>
      <c r="D7" s="10">
        <f>IF(DAY(ЯнвВс1)=1,ЯнвВс1+16,ЯнвВс1+23)</f>
        <v>43487</v>
      </c>
      <c r="E7" s="10">
        <f>IF(DAY(ЯнвВс1)=1,ЯнвВс1+17,ЯнвВс1+24)</f>
        <v>43488</v>
      </c>
      <c r="F7" s="10">
        <f>IF(DAY(ЯнвВс1)=1,ЯнвВс1+18,ЯнвВс1+25)</f>
        <v>43489</v>
      </c>
      <c r="G7" s="10">
        <f>IF(DAY(ЯнвВс1)=1,ЯнвВс1+19,ЯнвВс1+26)</f>
        <v>43490</v>
      </c>
      <c r="H7" s="10">
        <f>IF(DAY(ЯнвВс1)=1,ЯнвВс1+20,ЯнвВс1+27)</f>
        <v>43491</v>
      </c>
      <c r="I7" s="10">
        <f>IF(DAY(ЯнвВс1)=1,ЯнвВс1+21,ЯнвВс1+28)</f>
        <v>43492</v>
      </c>
      <c r="J7" s="5"/>
      <c r="K7" s="11"/>
      <c r="L7" s="17">
        <v>31</v>
      </c>
      <c r="M7" s="36" t="s">
        <v>24</v>
      </c>
      <c r="N7" s="37"/>
    </row>
    <row r="8" spans="1:14" ht="18.75" customHeight="1">
      <c r="A8" s="4"/>
      <c r="B8" s="26"/>
      <c r="C8" s="10">
        <f>IF(DAY(ЯнвВс1)=1,ЯнвВс1+22,ЯнвВс1+29)</f>
        <v>43493</v>
      </c>
      <c r="D8" s="10">
        <f>IF(DAY(ЯнвВс1)=1,ЯнвВс1+23,ЯнвВс1+30)</f>
        <v>43494</v>
      </c>
      <c r="E8" s="10">
        <f>IF(DAY(ЯнвВс1)=1,ЯнвВс1+24,ЯнвВс1+31)</f>
        <v>43495</v>
      </c>
      <c r="F8" s="10">
        <f>IF(DAY(ЯнвВс1)=1,ЯнвВс1+25,ЯнвВс1+32)</f>
        <v>43496</v>
      </c>
      <c r="G8" s="10">
        <f>IF(DAY(ЯнвВс1)=1,ЯнвВс1+26,ЯнвВс1+33)</f>
        <v>43497</v>
      </c>
      <c r="H8" s="10">
        <f>IF(DAY(ЯнвВс1)=1,ЯнвВс1+27,ЯнвВс1+34)</f>
        <v>43498</v>
      </c>
      <c r="I8" s="10">
        <f>IF(DAY(ЯнвВс1)=1,ЯнвВс1+28,ЯнвВс1+35)</f>
        <v>43499</v>
      </c>
      <c r="J8" s="5"/>
      <c r="K8" s="11"/>
      <c r="L8" s="17"/>
      <c r="M8" s="36"/>
      <c r="N8" s="37"/>
    </row>
    <row r="9" spans="1:14" ht="18" customHeight="1">
      <c r="A9" s="4"/>
      <c r="B9" s="26"/>
      <c r="C9" s="10">
        <f>IF(DAY(ЯнвВс1)=1,ЯнвВс1+29,ЯнвВс1+36)</f>
        <v>43500</v>
      </c>
      <c r="D9" s="10">
        <f>IF(DAY(ЯнвВс1)=1,ЯнвВс1+30,ЯнвВс1+37)</f>
        <v>43501</v>
      </c>
      <c r="E9" s="10">
        <f>IF(DAY(ЯнвВс1)=1,ЯнвВс1+31,ЯнвВс1+38)</f>
        <v>43502</v>
      </c>
      <c r="F9" s="10">
        <f>IF(DAY(ЯнвВс1)=1,ЯнвВс1+32,ЯнвВс1+39)</f>
        <v>43503</v>
      </c>
      <c r="G9" s="10">
        <f>IF(DAY(ЯнвВс1)=1,ЯнвВс1+33,ЯнвВс1+40)</f>
        <v>43504</v>
      </c>
      <c r="H9" s="10">
        <f>IF(DAY(ЯнвВс1)=1,ЯнвВс1+34,ЯнвВс1+41)</f>
        <v>43505</v>
      </c>
      <c r="I9" s="10">
        <f>IF(DAY(ЯнвВс1)=1,ЯнвВс1+35,ЯнвВс1+42)</f>
        <v>43506</v>
      </c>
      <c r="J9" s="5"/>
      <c r="K9" s="12"/>
      <c r="L9" s="18"/>
      <c r="M9" s="40"/>
      <c r="N9" s="41"/>
    </row>
    <row r="10" spans="1:14" ht="18" customHeight="1">
      <c r="A10" s="4"/>
      <c r="B10" s="27"/>
      <c r="C10" s="23"/>
      <c r="D10" s="23"/>
      <c r="E10" s="23"/>
      <c r="F10" s="23"/>
      <c r="G10" s="23"/>
      <c r="H10" s="23"/>
      <c r="I10" s="23"/>
      <c r="J10" s="24"/>
      <c r="K10" s="65"/>
      <c r="L10" s="16"/>
      <c r="M10" s="42"/>
      <c r="N10" s="43"/>
    </row>
    <row r="11" spans="1:14" ht="18" customHeight="1">
      <c r="A11" s="4"/>
      <c r="B11" s="33" t="s">
        <v>1</v>
      </c>
      <c r="C11" s="34"/>
      <c r="D11" s="34"/>
      <c r="E11" s="34"/>
      <c r="F11" s="34"/>
      <c r="G11" s="34"/>
      <c r="H11" s="34"/>
      <c r="I11" s="34"/>
      <c r="J11" s="35"/>
      <c r="K11" s="66"/>
      <c r="L11" s="17"/>
      <c r="M11" s="36"/>
      <c r="N11" s="37"/>
    </row>
    <row r="12" spans="1:14" ht="18" customHeight="1">
      <c r="A12" s="4"/>
      <c r="B12" s="33"/>
      <c r="C12" s="34"/>
      <c r="D12" s="34"/>
      <c r="E12" s="34"/>
      <c r="F12" s="34"/>
      <c r="G12" s="34"/>
      <c r="H12" s="34"/>
      <c r="I12" s="34"/>
      <c r="J12" s="35"/>
      <c r="K12" s="66"/>
      <c r="L12" s="17"/>
      <c r="M12" s="36"/>
      <c r="N12" s="37"/>
    </row>
    <row r="13" spans="2:14" ht="18" customHeight="1">
      <c r="B13" s="3" t="s">
        <v>2</v>
      </c>
      <c r="C13" s="67" t="s">
        <v>3</v>
      </c>
      <c r="D13" s="69"/>
      <c r="E13" s="67" t="s">
        <v>4</v>
      </c>
      <c r="F13" s="69"/>
      <c r="G13" s="67" t="s">
        <v>5</v>
      </c>
      <c r="H13" s="69"/>
      <c r="I13" s="67" t="s">
        <v>6</v>
      </c>
      <c r="J13" s="68"/>
      <c r="K13" s="11"/>
      <c r="L13" s="17"/>
      <c r="M13" s="36"/>
      <c r="N13" s="37"/>
    </row>
    <row r="14" spans="2:14" ht="18" customHeight="1">
      <c r="B14" s="8"/>
      <c r="C14" s="44"/>
      <c r="D14" s="45"/>
      <c r="E14" s="44"/>
      <c r="F14" s="45"/>
      <c r="G14" s="44"/>
      <c r="H14" s="45"/>
      <c r="I14" s="44"/>
      <c r="J14" s="59"/>
      <c r="K14" s="11"/>
      <c r="L14" s="17"/>
      <c r="M14" s="36"/>
      <c r="N14" s="37"/>
    </row>
    <row r="15" spans="2:14" ht="18" customHeight="1">
      <c r="B15" s="6"/>
      <c r="C15" s="46"/>
      <c r="D15" s="47"/>
      <c r="E15" s="46"/>
      <c r="F15" s="47"/>
      <c r="G15" s="46"/>
      <c r="H15" s="47"/>
      <c r="I15" s="57"/>
      <c r="J15" s="58"/>
      <c r="K15" s="13"/>
      <c r="L15" s="19"/>
      <c r="M15" s="40"/>
      <c r="N15" s="41"/>
    </row>
    <row r="16" spans="2:14" ht="18" customHeight="1">
      <c r="B16" s="8"/>
      <c r="C16" s="44"/>
      <c r="D16" s="45"/>
      <c r="E16" s="44"/>
      <c r="F16" s="45"/>
      <c r="G16" s="44"/>
      <c r="H16" s="45"/>
      <c r="I16" s="53"/>
      <c r="J16" s="54"/>
      <c r="K16" s="65"/>
      <c r="L16" s="16"/>
      <c r="M16" s="42"/>
      <c r="N16" s="43"/>
    </row>
    <row r="17" spans="2:14" ht="18" customHeight="1">
      <c r="B17" s="6"/>
      <c r="C17" s="46"/>
      <c r="D17" s="47"/>
      <c r="E17" s="46"/>
      <c r="F17" s="47"/>
      <c r="G17" s="46"/>
      <c r="H17" s="47"/>
      <c r="I17" s="57"/>
      <c r="J17" s="58"/>
      <c r="K17" s="66"/>
      <c r="L17" s="17"/>
      <c r="M17" s="36"/>
      <c r="N17" s="37"/>
    </row>
    <row r="18" spans="2:14" ht="18" customHeight="1">
      <c r="B18" s="9"/>
      <c r="C18" s="62"/>
      <c r="D18" s="63"/>
      <c r="E18" s="62"/>
      <c r="F18" s="63"/>
      <c r="G18" s="62"/>
      <c r="H18" s="63"/>
      <c r="I18" s="62"/>
      <c r="J18" s="64"/>
      <c r="K18" s="66"/>
      <c r="L18" s="17"/>
      <c r="M18" s="36"/>
      <c r="N18" s="37"/>
    </row>
    <row r="19" spans="2:14" ht="18" customHeight="1">
      <c r="B19" s="6"/>
      <c r="C19" s="46"/>
      <c r="D19" s="47"/>
      <c r="E19" s="46"/>
      <c r="F19" s="47"/>
      <c r="G19" s="46"/>
      <c r="H19" s="47"/>
      <c r="I19" s="57"/>
      <c r="J19" s="58"/>
      <c r="K19" s="11"/>
      <c r="L19" s="17"/>
      <c r="M19" s="36"/>
      <c r="N19" s="37"/>
    </row>
    <row r="20" spans="2:14" ht="18" customHeight="1">
      <c r="B20" s="8"/>
      <c r="C20" s="44"/>
      <c r="D20" s="45"/>
      <c r="E20" s="44"/>
      <c r="F20" s="45"/>
      <c r="G20" s="44"/>
      <c r="H20" s="45"/>
      <c r="I20" s="44"/>
      <c r="J20" s="59"/>
      <c r="K20" s="11"/>
      <c r="L20" s="17"/>
      <c r="M20" s="36"/>
      <c r="N20" s="37"/>
    </row>
    <row r="21" spans="2:14" ht="18" customHeight="1">
      <c r="B21" s="6"/>
      <c r="C21" s="46"/>
      <c r="D21" s="47"/>
      <c r="E21" s="46"/>
      <c r="F21" s="47"/>
      <c r="G21" s="46"/>
      <c r="H21" s="47"/>
      <c r="I21" s="60"/>
      <c r="J21" s="61"/>
      <c r="K21" s="13"/>
      <c r="L21" s="19"/>
      <c r="M21" s="40"/>
      <c r="N21" s="41"/>
    </row>
    <row r="22" spans="2:14" ht="18" customHeight="1">
      <c r="B22" s="8"/>
      <c r="C22" s="44"/>
      <c r="D22" s="45"/>
      <c r="E22" s="44"/>
      <c r="F22" s="45"/>
      <c r="G22" s="44"/>
      <c r="H22" s="45"/>
      <c r="I22" s="44"/>
      <c r="J22" s="59"/>
      <c r="K22" s="65"/>
      <c r="L22" s="16"/>
      <c r="M22" s="42"/>
      <c r="N22" s="43"/>
    </row>
    <row r="23" spans="2:14" ht="18" customHeight="1">
      <c r="B23" s="6"/>
      <c r="C23" s="46"/>
      <c r="D23" s="47"/>
      <c r="E23" s="46"/>
      <c r="F23" s="47"/>
      <c r="G23" s="46"/>
      <c r="H23" s="47"/>
      <c r="I23" s="57"/>
      <c r="J23" s="58"/>
      <c r="K23" s="66"/>
      <c r="L23" s="17"/>
      <c r="M23" s="36"/>
      <c r="N23" s="37"/>
    </row>
    <row r="24" spans="2:14" ht="18" customHeight="1">
      <c r="B24" s="8"/>
      <c r="C24" s="44"/>
      <c r="D24" s="45"/>
      <c r="E24" s="44"/>
      <c r="F24" s="45"/>
      <c r="G24" s="44"/>
      <c r="H24" s="45"/>
      <c r="I24" s="44"/>
      <c r="J24" s="59"/>
      <c r="K24" s="66"/>
      <c r="L24" s="17"/>
      <c r="M24" s="36"/>
      <c r="N24" s="37"/>
    </row>
    <row r="25" spans="2:14" ht="18" customHeight="1">
      <c r="B25" s="6"/>
      <c r="C25" s="46"/>
      <c r="D25" s="47"/>
      <c r="E25" s="46"/>
      <c r="F25" s="47"/>
      <c r="G25" s="46"/>
      <c r="H25" s="47"/>
      <c r="I25" s="57"/>
      <c r="J25" s="58"/>
      <c r="K25" s="66"/>
      <c r="L25" s="17"/>
      <c r="M25" s="36"/>
      <c r="N25" s="37"/>
    </row>
    <row r="26" spans="2:14" ht="18" customHeight="1">
      <c r="B26" s="8"/>
      <c r="C26" s="44"/>
      <c r="D26" s="45"/>
      <c r="E26" s="44"/>
      <c r="F26" s="45"/>
      <c r="G26" s="44"/>
      <c r="H26" s="45"/>
      <c r="I26" s="44"/>
      <c r="J26" s="59"/>
      <c r="K26" s="11"/>
      <c r="L26" s="17"/>
      <c r="M26" s="36"/>
      <c r="N26" s="37"/>
    </row>
    <row r="27" spans="2:14" ht="18" customHeight="1">
      <c r="B27" s="6"/>
      <c r="C27" s="46"/>
      <c r="D27" s="47"/>
      <c r="E27" s="46"/>
      <c r="F27" s="47"/>
      <c r="G27" s="46"/>
      <c r="H27" s="47"/>
      <c r="I27" s="57"/>
      <c r="J27" s="58"/>
      <c r="K27" s="13"/>
      <c r="L27" s="19"/>
      <c r="M27" s="40"/>
      <c r="N27" s="41"/>
    </row>
    <row r="28" spans="2:14" ht="18" customHeight="1">
      <c r="B28" s="8"/>
      <c r="C28" s="44"/>
      <c r="D28" s="45"/>
      <c r="E28" s="44"/>
      <c r="F28" s="45"/>
      <c r="G28" s="44"/>
      <c r="H28" s="45"/>
      <c r="I28" s="44"/>
      <c r="J28" s="59"/>
      <c r="K28" s="65"/>
      <c r="L28" s="16"/>
      <c r="M28" s="42"/>
      <c r="N28" s="43"/>
    </row>
    <row r="29" spans="2:14" ht="18" customHeight="1">
      <c r="B29" s="6"/>
      <c r="C29" s="46"/>
      <c r="D29" s="47"/>
      <c r="E29" s="46"/>
      <c r="F29" s="47"/>
      <c r="G29" s="46"/>
      <c r="H29" s="47"/>
      <c r="I29" s="46"/>
      <c r="J29" s="52"/>
      <c r="K29" s="66"/>
      <c r="L29" s="17"/>
      <c r="M29" s="36"/>
      <c r="N29" s="37"/>
    </row>
    <row r="30" spans="2:14" ht="18" customHeight="1">
      <c r="B30" s="8"/>
      <c r="C30" s="44"/>
      <c r="D30" s="45"/>
      <c r="E30" s="44"/>
      <c r="F30" s="45"/>
      <c r="G30" s="44"/>
      <c r="H30" s="45"/>
      <c r="I30" s="50"/>
      <c r="J30" s="51"/>
      <c r="K30" s="66"/>
      <c r="L30" s="17"/>
      <c r="M30" s="36"/>
      <c r="N30" s="37"/>
    </row>
    <row r="31" spans="2:14" ht="18" customHeight="1">
      <c r="B31" s="6"/>
      <c r="C31" s="46"/>
      <c r="D31" s="47"/>
      <c r="E31" s="46"/>
      <c r="F31" s="47"/>
      <c r="G31" s="46"/>
      <c r="H31" s="47"/>
      <c r="I31" s="46"/>
      <c r="J31" s="52"/>
      <c r="K31" s="14"/>
      <c r="L31" s="17"/>
      <c r="M31" s="36"/>
      <c r="N31" s="37"/>
    </row>
    <row r="32" spans="2:14" ht="18" customHeight="1">
      <c r="B32" s="8"/>
      <c r="C32" s="44"/>
      <c r="D32" s="45"/>
      <c r="E32" s="44"/>
      <c r="F32" s="45"/>
      <c r="G32" s="44"/>
      <c r="H32" s="45"/>
      <c r="I32" s="53"/>
      <c r="J32" s="54"/>
      <c r="K32" s="14"/>
      <c r="L32" s="17"/>
      <c r="M32" s="36"/>
      <c r="N32" s="37"/>
    </row>
    <row r="33" spans="2:14" ht="18" customHeight="1">
      <c r="B33" s="7"/>
      <c r="C33" s="48"/>
      <c r="D33" s="49"/>
      <c r="E33" s="48"/>
      <c r="F33" s="49"/>
      <c r="G33" s="48"/>
      <c r="H33" s="49"/>
      <c r="I33" s="55"/>
      <c r="J33" s="56"/>
      <c r="K33" s="15"/>
      <c r="L33" s="20"/>
      <c r="M33" s="38"/>
      <c r="N33" s="39"/>
    </row>
  </sheetData>
  <sheetProtection/>
  <mergeCells count="124">
    <mergeCell ref="M18:N18"/>
    <mergeCell ref="M19:N19"/>
    <mergeCell ref="M20:N20"/>
    <mergeCell ref="M12:N12"/>
    <mergeCell ref="M13:N13"/>
    <mergeCell ref="M14:N14"/>
    <mergeCell ref="M15:N15"/>
    <mergeCell ref="M16:N16"/>
    <mergeCell ref="M17:N17"/>
    <mergeCell ref="N2:N3"/>
    <mergeCell ref="C19:D19"/>
    <mergeCell ref="C20:D20"/>
    <mergeCell ref="C21:D21"/>
    <mergeCell ref="C22:D22"/>
    <mergeCell ref="C23:D23"/>
    <mergeCell ref="C14:D14"/>
    <mergeCell ref="C15:D15"/>
    <mergeCell ref="K16:K18"/>
    <mergeCell ref="K22:K25"/>
    <mergeCell ref="M6:N6"/>
    <mergeCell ref="M7:N7"/>
    <mergeCell ref="M8:N8"/>
    <mergeCell ref="M9:N9"/>
    <mergeCell ref="M10:N10"/>
    <mergeCell ref="M11:N11"/>
    <mergeCell ref="K28:K30"/>
    <mergeCell ref="I13:J13"/>
    <mergeCell ref="G13:H13"/>
    <mergeCell ref="E13:F13"/>
    <mergeCell ref="C13:D13"/>
    <mergeCell ref="K2:M3"/>
    <mergeCell ref="K10:K12"/>
    <mergeCell ref="K4:K6"/>
    <mergeCell ref="M4:N4"/>
    <mergeCell ref="M5:N5"/>
    <mergeCell ref="C32:D32"/>
    <mergeCell ref="C33:D33"/>
    <mergeCell ref="C24:D24"/>
    <mergeCell ref="C25:D25"/>
    <mergeCell ref="C26:D26"/>
    <mergeCell ref="C27:D27"/>
    <mergeCell ref="C28:D28"/>
    <mergeCell ref="C16:D16"/>
    <mergeCell ref="C17:D17"/>
    <mergeCell ref="C18:D18"/>
    <mergeCell ref="C29:D29"/>
    <mergeCell ref="C30:D30"/>
    <mergeCell ref="C31:D31"/>
    <mergeCell ref="E28:F28"/>
    <mergeCell ref="E27:F27"/>
    <mergeCell ref="E26:F26"/>
    <mergeCell ref="E25:F25"/>
    <mergeCell ref="E24:F24"/>
    <mergeCell ref="E33:F33"/>
    <mergeCell ref="E32:F32"/>
    <mergeCell ref="E31:F31"/>
    <mergeCell ref="E30:F30"/>
    <mergeCell ref="E29:F29"/>
    <mergeCell ref="E18:F18"/>
    <mergeCell ref="E17:F17"/>
    <mergeCell ref="E16:F16"/>
    <mergeCell ref="E15:F15"/>
    <mergeCell ref="E14:F14"/>
    <mergeCell ref="E23:F23"/>
    <mergeCell ref="E22:F22"/>
    <mergeCell ref="E21:F21"/>
    <mergeCell ref="E20:F20"/>
    <mergeCell ref="E19:F19"/>
    <mergeCell ref="G14:H14"/>
    <mergeCell ref="I14:J14"/>
    <mergeCell ref="G15:H15"/>
    <mergeCell ref="I15:J15"/>
    <mergeCell ref="G16:H16"/>
    <mergeCell ref="I16:J16"/>
    <mergeCell ref="G20:H20"/>
    <mergeCell ref="G21:H21"/>
    <mergeCell ref="I19:J19"/>
    <mergeCell ref="I20:J20"/>
    <mergeCell ref="I21:J21"/>
    <mergeCell ref="G17:H17"/>
    <mergeCell ref="I17:J17"/>
    <mergeCell ref="G18:H18"/>
    <mergeCell ref="I18:J18"/>
    <mergeCell ref="G19:H19"/>
    <mergeCell ref="I22:J22"/>
    <mergeCell ref="I23:J23"/>
    <mergeCell ref="G22:H22"/>
    <mergeCell ref="G23:H23"/>
    <mergeCell ref="G24:H24"/>
    <mergeCell ref="I24:J24"/>
    <mergeCell ref="I25:J25"/>
    <mergeCell ref="I26:J26"/>
    <mergeCell ref="I27:J27"/>
    <mergeCell ref="I28:J28"/>
    <mergeCell ref="I29:J29"/>
    <mergeCell ref="G25:H25"/>
    <mergeCell ref="G26:H26"/>
    <mergeCell ref="G27:H27"/>
    <mergeCell ref="G28:H28"/>
    <mergeCell ref="G29:H29"/>
    <mergeCell ref="G30:H30"/>
    <mergeCell ref="G31:H31"/>
    <mergeCell ref="G32:H32"/>
    <mergeCell ref="G33:H33"/>
    <mergeCell ref="I30:J30"/>
    <mergeCell ref="I31:J31"/>
    <mergeCell ref="I32:J32"/>
    <mergeCell ref="I33:J33"/>
    <mergeCell ref="M30:N30"/>
    <mergeCell ref="M21:N21"/>
    <mergeCell ref="M22:N22"/>
    <mergeCell ref="M23:N23"/>
    <mergeCell ref="M24:N24"/>
    <mergeCell ref="M25:N25"/>
    <mergeCell ref="B3:B4"/>
    <mergeCell ref="P2:P3"/>
    <mergeCell ref="B11:J12"/>
    <mergeCell ref="M31:N31"/>
    <mergeCell ref="M32:N32"/>
    <mergeCell ref="M33:N33"/>
    <mergeCell ref="M26:N26"/>
    <mergeCell ref="M27:N27"/>
    <mergeCell ref="M28:N28"/>
    <mergeCell ref="M29:N29"/>
  </mergeCells>
  <conditionalFormatting sqref="C4:H4">
    <cfRule type="expression" priority="4" dxfId="2" stopIfTrue="1">
      <formula>DAY(C4)&gt;8</formula>
    </cfRule>
  </conditionalFormatting>
  <conditionalFormatting sqref="C8:I10">
    <cfRule type="expression" priority="3" dxfId="2" stopIfTrue="1">
      <formula>AND(DAY(C8)&gt;=1,DAY(C8)&lt;=15)</formula>
    </cfRule>
  </conditionalFormatting>
  <conditionalFormatting sqref="C4:I9">
    <cfRule type="expression" priority="15" dxfId="1">
      <formula>VLOOKUP(DAY(C4),КоличествоДней,1,FALSE)=DAY(C4)</formula>
    </cfRule>
  </conditionalFormatting>
  <conditionalFormatting sqref="B14:J33">
    <cfRule type="expression" priority="1" dxfId="0">
      <formula>B14&lt;&gt;""</formula>
    </cfRule>
  </conditionalFormatting>
  <dataValidations count="1">
    <dataValidation allowBlank="1" showInputMessage="1" showErrorMessage="1" errorTitle="Invalid Year" error="Enter a year from 1900 to 9999, or use the scroll bar to find a year." sqref="N2"/>
  </dataValidations>
  <printOptions horizontalCentered="1" verticalCentered="1"/>
  <pageMargins left="0.5" right="0.5" top="0.5" bottom="0.5" header="0.3" footer="0.3"/>
  <pageSetup fitToHeight="1" fitToWidth="1" horizontalDpi="600" verticalDpi="600" orientation="landscape" paperSize="9" scale="91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2:N33"/>
  <sheetViews>
    <sheetView showGridLines="0" zoomScalePageLayoutView="84" workbookViewId="0" topLeftCell="A1">
      <selection activeCell="N2" sqref="N2:N3"/>
    </sheetView>
  </sheetViews>
  <sheetFormatPr defaultColWidth="8.7109375" defaultRowHeight="16.5" customHeight="1"/>
  <cols>
    <col min="1" max="1" width="2.28125" style="1" customWidth="1"/>
    <col min="2" max="2" width="17.57421875" style="1" customWidth="1"/>
    <col min="3" max="10" width="9.140625" style="1" customWidth="1"/>
    <col min="11" max="11" width="7.28125" style="1" customWidth="1"/>
    <col min="12" max="12" width="3.8515625" style="0" customWidth="1"/>
    <col min="13" max="13" width="51.421875" style="1" customWidth="1"/>
    <col min="14" max="14" width="10.7109375" style="1" customWidth="1"/>
    <col min="15" max="15" width="2.28125" style="0" customWidth="1"/>
    <col min="16" max="16384" width="8.7109375" style="1" customWidth="1"/>
  </cols>
  <sheetData>
    <row r="1" ht="11.25" customHeight="1"/>
    <row r="2" spans="1:14" ht="18" customHeight="1">
      <c r="A2" s="4"/>
      <c r="B2" s="30"/>
      <c r="C2" s="21"/>
      <c r="D2" s="21"/>
      <c r="E2" s="21"/>
      <c r="F2" s="21"/>
      <c r="G2" s="21"/>
      <c r="H2" s="21"/>
      <c r="I2" s="21"/>
      <c r="J2" s="22"/>
      <c r="K2" s="70" t="s">
        <v>20</v>
      </c>
      <c r="L2" s="71">
        <v>2013</v>
      </c>
      <c r="M2" s="71"/>
      <c r="N2" s="79">
        <f>КалендарныйГод</f>
        <v>2019</v>
      </c>
    </row>
    <row r="3" spans="1:14" ht="21" customHeight="1">
      <c r="A3" s="4"/>
      <c r="B3" s="31" t="s">
        <v>8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19</v>
      </c>
      <c r="J3" s="5"/>
      <c r="K3" s="72"/>
      <c r="L3" s="73"/>
      <c r="M3" s="73"/>
      <c r="N3" s="80"/>
    </row>
    <row r="4" spans="1:14" ht="18" customHeight="1">
      <c r="A4" s="4"/>
      <c r="B4" s="31"/>
      <c r="C4" s="10">
        <f>IF(DAY(ОктВс1)=1,ОктВс1-6,ОктВс1+1)</f>
        <v>43738</v>
      </c>
      <c r="D4" s="10">
        <f>IF(DAY(ОктВс1)=1,ОктВс1-5,ОктВс1+2)</f>
        <v>43739</v>
      </c>
      <c r="E4" s="10">
        <f>IF(DAY(ОктВс1)=1,ОктВс1-4,ОктВс1+3)</f>
        <v>43740</v>
      </c>
      <c r="F4" s="10">
        <f>IF(DAY(ОктВс1)=1,ОктВс1-3,ОктВс1+4)</f>
        <v>43741</v>
      </c>
      <c r="G4" s="10">
        <f>IF(DAY(ОктВс1)=1,ОктВс1-2,ОктВс1+5)</f>
        <v>43742</v>
      </c>
      <c r="H4" s="10">
        <f>IF(DAY(ОктВс1)=1,ОктВс1-1,ОктВс1+6)</f>
        <v>43743</v>
      </c>
      <c r="I4" s="10">
        <f>IF(DAY(ОктВс1)=1,ОктВс1,ОктВс1+7)</f>
        <v>43744</v>
      </c>
      <c r="J4" s="5"/>
      <c r="K4" s="74"/>
      <c r="L4" s="16"/>
      <c r="M4" s="75"/>
      <c r="N4" s="76"/>
    </row>
    <row r="5" spans="1:14" ht="18" customHeight="1">
      <c r="A5" s="4"/>
      <c r="B5" s="28"/>
      <c r="C5" s="10">
        <f>IF(DAY(ОктВс1)=1,ОктВс1+1,ОктВс1+8)</f>
        <v>43745</v>
      </c>
      <c r="D5" s="10">
        <f>IF(DAY(ОктВс1)=1,ОктВс1+2,ОктВс1+9)</f>
        <v>43746</v>
      </c>
      <c r="E5" s="10">
        <f>IF(DAY(ОктВс1)=1,ОктВс1+3,ОктВс1+10)</f>
        <v>43747</v>
      </c>
      <c r="F5" s="10">
        <f>IF(DAY(ОктВс1)=1,ОктВс1+4,ОктВс1+11)</f>
        <v>43748</v>
      </c>
      <c r="G5" s="10">
        <f>IF(DAY(ОктВс1)=1,ОктВс1+5,ОктВс1+12)</f>
        <v>43749</v>
      </c>
      <c r="H5" s="10">
        <f>IF(DAY(ОктВс1)=1,ОктВс1+6,ОктВс1+13)</f>
        <v>43750</v>
      </c>
      <c r="I5" s="10">
        <f>IF(DAY(ОктВс1)=1,ОктВс1+7,ОктВс1+14)</f>
        <v>43751</v>
      </c>
      <c r="J5" s="5"/>
      <c r="K5" s="66"/>
      <c r="L5" s="17"/>
      <c r="M5" s="36"/>
      <c r="N5" s="37"/>
    </row>
    <row r="6" spans="1:14" ht="18" customHeight="1">
      <c r="A6" s="4"/>
      <c r="B6" s="28"/>
      <c r="C6" s="10">
        <f>IF(DAY(ОктВс1)=1,ОктВс1+8,ОктВс1+15)</f>
        <v>43752</v>
      </c>
      <c r="D6" s="10">
        <f>IF(DAY(ОктВс1)=1,ОктВс1+9,ОктВс1+16)</f>
        <v>43753</v>
      </c>
      <c r="E6" s="10">
        <f>IF(DAY(ОктВс1)=1,ОктВс1+10,ОктВс1+17)</f>
        <v>43754</v>
      </c>
      <c r="F6" s="10">
        <f>IF(DAY(ОктВс1)=1,ОктВс1+11,ОктВс1+18)</f>
        <v>43755</v>
      </c>
      <c r="G6" s="10">
        <f>IF(DAY(ОктВс1)=1,ОктВс1+12,ОктВс1+19)</f>
        <v>43756</v>
      </c>
      <c r="H6" s="10">
        <f>IF(DAY(ОктВс1)=1,ОктВс1+13,ОктВс1+20)</f>
        <v>43757</v>
      </c>
      <c r="I6" s="10">
        <f>IF(DAY(ОктВс1)=1,ОктВс1+14,ОктВс1+21)</f>
        <v>43758</v>
      </c>
      <c r="J6" s="5"/>
      <c r="K6" s="66"/>
      <c r="L6" s="17"/>
      <c r="M6" s="36"/>
      <c r="N6" s="37"/>
    </row>
    <row r="7" spans="1:14" ht="18" customHeight="1">
      <c r="A7" s="4"/>
      <c r="B7" s="28"/>
      <c r="C7" s="10">
        <f>IF(DAY(ОктВс1)=1,ОктВс1+15,ОктВс1+22)</f>
        <v>43759</v>
      </c>
      <c r="D7" s="10">
        <f>IF(DAY(ОктВс1)=1,ОктВс1+16,ОктВс1+23)</f>
        <v>43760</v>
      </c>
      <c r="E7" s="10">
        <f>IF(DAY(ОктВс1)=1,ОктВс1+17,ОктВс1+24)</f>
        <v>43761</v>
      </c>
      <c r="F7" s="10">
        <f>IF(DAY(ОктВс1)=1,ОктВс1+18,ОктВс1+25)</f>
        <v>43762</v>
      </c>
      <c r="G7" s="10">
        <f>IF(DAY(ОктВс1)=1,ОктВс1+19,ОктВс1+26)</f>
        <v>43763</v>
      </c>
      <c r="H7" s="10">
        <f>IF(DAY(ОктВс1)=1,ОктВс1+20,ОктВс1+27)</f>
        <v>43764</v>
      </c>
      <c r="I7" s="10">
        <f>IF(DAY(ОктВс1)=1,ОктВс1+21,ОктВс1+28)</f>
        <v>43765</v>
      </c>
      <c r="J7" s="5"/>
      <c r="K7" s="11"/>
      <c r="L7" s="17"/>
      <c r="M7" s="36"/>
      <c r="N7" s="37"/>
    </row>
    <row r="8" spans="1:14" ht="18.75" customHeight="1">
      <c r="A8" s="4"/>
      <c r="B8" s="28"/>
      <c r="C8" s="10">
        <f>IF(DAY(ОктВс1)=1,ОктВс1+22,ОктВс1+29)</f>
        <v>43766</v>
      </c>
      <c r="D8" s="10">
        <f>IF(DAY(ОктВс1)=1,ОктВс1+23,ОктВс1+30)</f>
        <v>43767</v>
      </c>
      <c r="E8" s="10">
        <f>IF(DAY(ОктВс1)=1,ОктВс1+24,ОктВс1+31)</f>
        <v>43768</v>
      </c>
      <c r="F8" s="10">
        <f>IF(DAY(ОктВс1)=1,ОктВс1+25,ОктВс1+32)</f>
        <v>43769</v>
      </c>
      <c r="G8" s="10">
        <f>IF(DAY(ОктВс1)=1,ОктВс1+26,ОктВс1+33)</f>
        <v>43770</v>
      </c>
      <c r="H8" s="10">
        <f>IF(DAY(ОктВс1)=1,ОктВс1+27,ОктВс1+34)</f>
        <v>43771</v>
      </c>
      <c r="I8" s="10">
        <f>IF(DAY(ОктВс1)=1,ОктВс1+28,ОктВс1+35)</f>
        <v>43772</v>
      </c>
      <c r="J8" s="5"/>
      <c r="K8" s="11"/>
      <c r="L8" s="17"/>
      <c r="M8" s="36"/>
      <c r="N8" s="37"/>
    </row>
    <row r="9" spans="1:14" ht="18" customHeight="1">
      <c r="A9" s="4"/>
      <c r="B9" s="28"/>
      <c r="C9" s="10">
        <f>IF(DAY(ОктВс1)=1,ОктВс1+29,ОктВс1+36)</f>
        <v>43773</v>
      </c>
      <c r="D9" s="10">
        <f>IF(DAY(ОктВс1)=1,ОктВс1+30,ОктВс1+37)</f>
        <v>43774</v>
      </c>
      <c r="E9" s="10">
        <f>IF(DAY(ОктВс1)=1,ОктВс1+31,ОктВс1+38)</f>
        <v>43775</v>
      </c>
      <c r="F9" s="10">
        <f>IF(DAY(ОктВс1)=1,ОктВс1+32,ОктВс1+39)</f>
        <v>43776</v>
      </c>
      <c r="G9" s="10">
        <f>IF(DAY(ОктВс1)=1,ОктВс1+33,ОктВс1+40)</f>
        <v>43777</v>
      </c>
      <c r="H9" s="10">
        <f>IF(DAY(ОктВс1)=1,ОктВс1+34,ОктВс1+41)</f>
        <v>43778</v>
      </c>
      <c r="I9" s="10">
        <f>IF(DAY(ОктВс1)=1,ОктВс1+35,ОктВс1+42)</f>
        <v>43779</v>
      </c>
      <c r="J9" s="5"/>
      <c r="K9" s="12"/>
      <c r="L9" s="18"/>
      <c r="M9" s="40"/>
      <c r="N9" s="41"/>
    </row>
    <row r="10" spans="1:14" ht="18" customHeight="1">
      <c r="A10" s="4"/>
      <c r="B10" s="29"/>
      <c r="C10" s="23"/>
      <c r="D10" s="23"/>
      <c r="E10" s="23"/>
      <c r="F10" s="23"/>
      <c r="G10" s="23"/>
      <c r="H10" s="23"/>
      <c r="I10" s="23"/>
      <c r="J10" s="24"/>
      <c r="K10" s="65"/>
      <c r="L10" s="16"/>
      <c r="M10" s="42"/>
      <c r="N10" s="43"/>
    </row>
    <row r="11" spans="1:14" ht="18" customHeight="1">
      <c r="A11" s="4"/>
      <c r="B11" s="33" t="s">
        <v>1</v>
      </c>
      <c r="C11" s="34"/>
      <c r="D11" s="34"/>
      <c r="E11" s="34"/>
      <c r="F11" s="34"/>
      <c r="G11" s="34"/>
      <c r="H11" s="34"/>
      <c r="I11" s="34"/>
      <c r="J11" s="35"/>
      <c r="K11" s="66"/>
      <c r="L11" s="17"/>
      <c r="M11" s="36"/>
      <c r="N11" s="37"/>
    </row>
    <row r="12" spans="1:14" ht="18" customHeight="1">
      <c r="A12" s="4"/>
      <c r="B12" s="33"/>
      <c r="C12" s="34"/>
      <c r="D12" s="34"/>
      <c r="E12" s="34"/>
      <c r="F12" s="34"/>
      <c r="G12" s="34"/>
      <c r="H12" s="34"/>
      <c r="I12" s="34"/>
      <c r="J12" s="35"/>
      <c r="K12" s="66"/>
      <c r="L12" s="17"/>
      <c r="M12" s="36"/>
      <c r="N12" s="37"/>
    </row>
    <row r="13" spans="2:14" ht="18" customHeight="1">
      <c r="B13" s="3" t="s">
        <v>2</v>
      </c>
      <c r="C13" s="67" t="s">
        <v>3</v>
      </c>
      <c r="D13" s="69"/>
      <c r="E13" s="67" t="s">
        <v>4</v>
      </c>
      <c r="F13" s="69"/>
      <c r="G13" s="67" t="s">
        <v>5</v>
      </c>
      <c r="H13" s="69"/>
      <c r="I13" s="67" t="s">
        <v>6</v>
      </c>
      <c r="J13" s="68"/>
      <c r="K13" s="11"/>
      <c r="L13" s="17"/>
      <c r="M13" s="36"/>
      <c r="N13" s="37"/>
    </row>
    <row r="14" spans="2:14" ht="18" customHeight="1">
      <c r="B14" s="8"/>
      <c r="C14" s="44"/>
      <c r="D14" s="45"/>
      <c r="E14" s="44"/>
      <c r="F14" s="45"/>
      <c r="G14" s="44"/>
      <c r="H14" s="45"/>
      <c r="I14" s="44"/>
      <c r="J14" s="59"/>
      <c r="K14" s="11"/>
      <c r="L14" s="17"/>
      <c r="M14" s="36"/>
      <c r="N14" s="37"/>
    </row>
    <row r="15" spans="2:14" ht="18" customHeight="1">
      <c r="B15" s="6"/>
      <c r="C15" s="46"/>
      <c r="D15" s="47"/>
      <c r="E15" s="46"/>
      <c r="F15" s="47"/>
      <c r="G15" s="46"/>
      <c r="H15" s="47"/>
      <c r="I15" s="57"/>
      <c r="J15" s="58"/>
      <c r="K15" s="13"/>
      <c r="L15" s="19"/>
      <c r="M15" s="40"/>
      <c r="N15" s="41"/>
    </row>
    <row r="16" spans="2:14" ht="18" customHeight="1">
      <c r="B16" s="8"/>
      <c r="C16" s="44"/>
      <c r="D16" s="45"/>
      <c r="E16" s="44"/>
      <c r="F16" s="45"/>
      <c r="G16" s="44"/>
      <c r="H16" s="45"/>
      <c r="I16" s="53"/>
      <c r="J16" s="54"/>
      <c r="K16" s="65"/>
      <c r="L16" s="16"/>
      <c r="M16" s="42"/>
      <c r="N16" s="43"/>
    </row>
    <row r="17" spans="2:14" ht="18" customHeight="1">
      <c r="B17" s="6"/>
      <c r="C17" s="46"/>
      <c r="D17" s="47"/>
      <c r="E17" s="46"/>
      <c r="F17" s="47"/>
      <c r="G17" s="46"/>
      <c r="H17" s="47"/>
      <c r="I17" s="57"/>
      <c r="J17" s="58"/>
      <c r="K17" s="66"/>
      <c r="L17" s="17"/>
      <c r="M17" s="36"/>
      <c r="N17" s="37"/>
    </row>
    <row r="18" spans="2:14" ht="18" customHeight="1">
      <c r="B18" s="9"/>
      <c r="C18" s="62"/>
      <c r="D18" s="63"/>
      <c r="E18" s="62"/>
      <c r="F18" s="63"/>
      <c r="G18" s="62"/>
      <c r="H18" s="63"/>
      <c r="I18" s="62"/>
      <c r="J18" s="64"/>
      <c r="K18" s="66"/>
      <c r="L18" s="17"/>
      <c r="M18" s="36"/>
      <c r="N18" s="37"/>
    </row>
    <row r="19" spans="2:14" ht="18" customHeight="1">
      <c r="B19" s="6"/>
      <c r="C19" s="46"/>
      <c r="D19" s="47"/>
      <c r="E19" s="46"/>
      <c r="F19" s="47"/>
      <c r="G19" s="46"/>
      <c r="H19" s="47"/>
      <c r="I19" s="57"/>
      <c r="J19" s="58"/>
      <c r="K19" s="11"/>
      <c r="L19" s="17"/>
      <c r="M19" s="36"/>
      <c r="N19" s="37"/>
    </row>
    <row r="20" spans="2:14" ht="18" customHeight="1">
      <c r="B20" s="8"/>
      <c r="C20" s="44"/>
      <c r="D20" s="45"/>
      <c r="E20" s="44"/>
      <c r="F20" s="45"/>
      <c r="G20" s="44"/>
      <c r="H20" s="45"/>
      <c r="I20" s="44"/>
      <c r="J20" s="59"/>
      <c r="K20" s="11"/>
      <c r="L20" s="17"/>
      <c r="M20" s="36"/>
      <c r="N20" s="37"/>
    </row>
    <row r="21" spans="2:14" ht="18" customHeight="1">
      <c r="B21" s="6"/>
      <c r="C21" s="46"/>
      <c r="D21" s="47"/>
      <c r="E21" s="46"/>
      <c r="F21" s="47"/>
      <c r="G21" s="46"/>
      <c r="H21" s="47"/>
      <c r="I21" s="60"/>
      <c r="J21" s="61"/>
      <c r="K21" s="13"/>
      <c r="L21" s="19"/>
      <c r="M21" s="40"/>
      <c r="N21" s="41"/>
    </row>
    <row r="22" spans="2:14" ht="18" customHeight="1">
      <c r="B22" s="8"/>
      <c r="C22" s="44"/>
      <c r="D22" s="45"/>
      <c r="E22" s="44"/>
      <c r="F22" s="45"/>
      <c r="G22" s="44"/>
      <c r="H22" s="45"/>
      <c r="I22" s="44"/>
      <c r="J22" s="59"/>
      <c r="K22" s="65"/>
      <c r="L22" s="16"/>
      <c r="M22" s="42"/>
      <c r="N22" s="43"/>
    </row>
    <row r="23" spans="2:14" ht="18" customHeight="1">
      <c r="B23" s="6"/>
      <c r="C23" s="46"/>
      <c r="D23" s="47"/>
      <c r="E23" s="46"/>
      <c r="F23" s="47"/>
      <c r="G23" s="46"/>
      <c r="H23" s="47"/>
      <c r="I23" s="57"/>
      <c r="J23" s="58"/>
      <c r="K23" s="66"/>
      <c r="L23" s="17"/>
      <c r="M23" s="36"/>
      <c r="N23" s="37"/>
    </row>
    <row r="24" spans="2:14" ht="18" customHeight="1">
      <c r="B24" s="8"/>
      <c r="C24" s="44"/>
      <c r="D24" s="45"/>
      <c r="E24" s="44"/>
      <c r="F24" s="45"/>
      <c r="G24" s="44"/>
      <c r="H24" s="45"/>
      <c r="I24" s="44"/>
      <c r="J24" s="59"/>
      <c r="K24" s="66"/>
      <c r="L24" s="17"/>
      <c r="M24" s="36"/>
      <c r="N24" s="37"/>
    </row>
    <row r="25" spans="2:14" ht="18" customHeight="1">
      <c r="B25" s="6"/>
      <c r="C25" s="46"/>
      <c r="D25" s="47"/>
      <c r="E25" s="46"/>
      <c r="F25" s="47"/>
      <c r="G25" s="46"/>
      <c r="H25" s="47"/>
      <c r="I25" s="57"/>
      <c r="J25" s="58"/>
      <c r="K25" s="66"/>
      <c r="L25" s="17"/>
      <c r="M25" s="36"/>
      <c r="N25" s="37"/>
    </row>
    <row r="26" spans="2:14" ht="18" customHeight="1">
      <c r="B26" s="8"/>
      <c r="C26" s="44"/>
      <c r="D26" s="45"/>
      <c r="E26" s="44"/>
      <c r="F26" s="45"/>
      <c r="G26" s="44"/>
      <c r="H26" s="45"/>
      <c r="I26" s="44"/>
      <c r="J26" s="59"/>
      <c r="K26" s="11"/>
      <c r="L26" s="17"/>
      <c r="M26" s="36"/>
      <c r="N26" s="37"/>
    </row>
    <row r="27" spans="2:14" ht="18" customHeight="1">
      <c r="B27" s="6"/>
      <c r="C27" s="46"/>
      <c r="D27" s="47"/>
      <c r="E27" s="46"/>
      <c r="F27" s="47"/>
      <c r="G27" s="46"/>
      <c r="H27" s="47"/>
      <c r="I27" s="57"/>
      <c r="J27" s="58"/>
      <c r="K27" s="13"/>
      <c r="L27" s="19"/>
      <c r="M27" s="40"/>
      <c r="N27" s="41"/>
    </row>
    <row r="28" spans="2:14" ht="18" customHeight="1">
      <c r="B28" s="8"/>
      <c r="C28" s="44"/>
      <c r="D28" s="45"/>
      <c r="E28" s="44"/>
      <c r="F28" s="45"/>
      <c r="G28" s="44"/>
      <c r="H28" s="45"/>
      <c r="I28" s="44"/>
      <c r="J28" s="59"/>
      <c r="K28" s="65"/>
      <c r="L28" s="16"/>
      <c r="M28" s="42"/>
      <c r="N28" s="43"/>
    </row>
    <row r="29" spans="2:14" ht="18" customHeight="1">
      <c r="B29" s="6"/>
      <c r="C29" s="46"/>
      <c r="D29" s="47"/>
      <c r="E29" s="46"/>
      <c r="F29" s="47"/>
      <c r="G29" s="46"/>
      <c r="H29" s="47"/>
      <c r="I29" s="46"/>
      <c r="J29" s="52"/>
      <c r="K29" s="66"/>
      <c r="L29" s="17"/>
      <c r="M29" s="36"/>
      <c r="N29" s="37"/>
    </row>
    <row r="30" spans="2:14" ht="18" customHeight="1">
      <c r="B30" s="8"/>
      <c r="C30" s="44"/>
      <c r="D30" s="45"/>
      <c r="E30" s="44"/>
      <c r="F30" s="45"/>
      <c r="G30" s="44"/>
      <c r="H30" s="45"/>
      <c r="I30" s="50"/>
      <c r="J30" s="51"/>
      <c r="K30" s="66"/>
      <c r="L30" s="17"/>
      <c r="M30" s="36"/>
      <c r="N30" s="37"/>
    </row>
    <row r="31" spans="2:14" ht="18" customHeight="1">
      <c r="B31" s="6"/>
      <c r="C31" s="46"/>
      <c r="D31" s="47"/>
      <c r="E31" s="46"/>
      <c r="F31" s="47"/>
      <c r="G31" s="46"/>
      <c r="H31" s="47"/>
      <c r="I31" s="46"/>
      <c r="J31" s="52"/>
      <c r="K31" s="14"/>
      <c r="L31" s="17"/>
      <c r="M31" s="36"/>
      <c r="N31" s="37"/>
    </row>
    <row r="32" spans="2:14" ht="18" customHeight="1">
      <c r="B32" s="8"/>
      <c r="C32" s="44"/>
      <c r="D32" s="45"/>
      <c r="E32" s="44"/>
      <c r="F32" s="45"/>
      <c r="G32" s="44"/>
      <c r="H32" s="45"/>
      <c r="I32" s="53"/>
      <c r="J32" s="54"/>
      <c r="K32" s="14"/>
      <c r="L32" s="17"/>
      <c r="M32" s="36"/>
      <c r="N32" s="37"/>
    </row>
    <row r="33" spans="2:14" ht="18" customHeight="1">
      <c r="B33" s="7"/>
      <c r="C33" s="48"/>
      <c r="D33" s="49"/>
      <c r="E33" s="48"/>
      <c r="F33" s="49"/>
      <c r="G33" s="48"/>
      <c r="H33" s="49"/>
      <c r="I33" s="55"/>
      <c r="J33" s="56"/>
      <c r="K33" s="15"/>
      <c r="L33" s="20"/>
      <c r="M33" s="38"/>
      <c r="N33" s="39"/>
    </row>
  </sheetData>
  <sheetProtection/>
  <mergeCells count="123">
    <mergeCell ref="C13:D13"/>
    <mergeCell ref="E13:F13"/>
    <mergeCell ref="G13:H13"/>
    <mergeCell ref="I13:J13"/>
    <mergeCell ref="M13:N13"/>
    <mergeCell ref="B3:B4"/>
    <mergeCell ref="K2:M3"/>
    <mergeCell ref="K4:K6"/>
    <mergeCell ref="M4:N4"/>
    <mergeCell ref="M5:N5"/>
    <mergeCell ref="K10:K12"/>
    <mergeCell ref="N2:N3"/>
    <mergeCell ref="M10:N10"/>
    <mergeCell ref="B11:J12"/>
    <mergeCell ref="M11:N11"/>
    <mergeCell ref="M12:N12"/>
    <mergeCell ref="M6:N6"/>
    <mergeCell ref="M7:N7"/>
    <mergeCell ref="M8:N8"/>
    <mergeCell ref="M9:N9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M17:N17"/>
    <mergeCell ref="C18:D18"/>
    <mergeCell ref="E18:F18"/>
    <mergeCell ref="G18:H18"/>
    <mergeCell ref="I18:J18"/>
    <mergeCell ref="M18:N18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E24:F24"/>
    <mergeCell ref="G24:H24"/>
    <mergeCell ref="I24:J24"/>
    <mergeCell ref="M24:N24"/>
    <mergeCell ref="C25:D25"/>
    <mergeCell ref="E25:F25"/>
    <mergeCell ref="G25:H25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G27:H27"/>
    <mergeCell ref="I27:J27"/>
    <mergeCell ref="M27:N27"/>
    <mergeCell ref="M22:N22"/>
    <mergeCell ref="C23:D23"/>
    <mergeCell ref="E23:F23"/>
    <mergeCell ref="G23:H23"/>
    <mergeCell ref="I23:J23"/>
    <mergeCell ref="M23:N23"/>
    <mergeCell ref="C24:D24"/>
    <mergeCell ref="I29:J29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C32:D32"/>
    <mergeCell ref="E32:F32"/>
    <mergeCell ref="G32:H32"/>
    <mergeCell ref="I32:J32"/>
    <mergeCell ref="M32:N32"/>
    <mergeCell ref="M29:N29"/>
    <mergeCell ref="C30:D30"/>
    <mergeCell ref="E30:F30"/>
    <mergeCell ref="G30:H30"/>
    <mergeCell ref="I30:J30"/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</mergeCells>
  <conditionalFormatting sqref="C4:H4">
    <cfRule type="expression" priority="3" dxfId="2" stopIfTrue="1">
      <formula>DAY(C4)&gt;8</formula>
    </cfRule>
  </conditionalFormatting>
  <conditionalFormatting sqref="C8:I10">
    <cfRule type="expression" priority="2" dxfId="2" stopIfTrue="1">
      <formula>AND(DAY(C8)&gt;=1,DAY(C8)&lt;=15)</formula>
    </cfRule>
  </conditionalFormatting>
  <conditionalFormatting sqref="C4:I9">
    <cfRule type="expression" priority="4" dxfId="1">
      <formula>VLOOKUP(DAY(C4),КоличествоДней,1,FALSE)=DAY(C4)</formula>
    </cfRule>
  </conditionalFormatting>
  <conditionalFormatting sqref="B14:J33">
    <cfRule type="expression" priority="1" dxfId="0">
      <formula>B14&lt;&gt;""</formula>
    </cfRule>
  </conditionalFormatting>
  <printOptions horizontalCentered="1" verticalCentered="1"/>
  <pageMargins left="0.5" right="0.5" top="0.5" bottom="0.5" header="0.3" footer="0.3"/>
  <pageSetup fitToHeight="1" fitToWidth="1" horizontalDpi="600" verticalDpi="600" orientation="landscape" paperSize="9" scale="91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2:N33"/>
  <sheetViews>
    <sheetView showGridLines="0" zoomScalePageLayoutView="84" workbookViewId="0" topLeftCell="A1">
      <selection activeCell="N2" sqref="N2:N3"/>
    </sheetView>
  </sheetViews>
  <sheetFormatPr defaultColWidth="8.7109375" defaultRowHeight="16.5" customHeight="1"/>
  <cols>
    <col min="1" max="1" width="2.28125" style="1" customWidth="1"/>
    <col min="2" max="2" width="17.57421875" style="1" customWidth="1"/>
    <col min="3" max="10" width="9.140625" style="1" customWidth="1"/>
    <col min="11" max="11" width="7.28125" style="1" customWidth="1"/>
    <col min="12" max="12" width="3.8515625" style="0" customWidth="1"/>
    <col min="13" max="13" width="51.421875" style="1" customWidth="1"/>
    <col min="14" max="14" width="10.7109375" style="1" customWidth="1"/>
    <col min="15" max="15" width="2.28125" style="0" customWidth="1"/>
    <col min="16" max="16384" width="8.7109375" style="1" customWidth="1"/>
  </cols>
  <sheetData>
    <row r="1" ht="11.25" customHeight="1"/>
    <row r="2" spans="1:14" ht="18" customHeight="1">
      <c r="A2" s="4"/>
      <c r="B2" s="30"/>
      <c r="C2" s="21"/>
      <c r="D2" s="21"/>
      <c r="E2" s="21"/>
      <c r="F2" s="21"/>
      <c r="G2" s="21"/>
      <c r="H2" s="21"/>
      <c r="I2" s="21"/>
      <c r="J2" s="22"/>
      <c r="K2" s="70" t="s">
        <v>20</v>
      </c>
      <c r="L2" s="71">
        <v>2013</v>
      </c>
      <c r="M2" s="71"/>
      <c r="N2" s="79">
        <f>КалендарныйГод</f>
        <v>2019</v>
      </c>
    </row>
    <row r="3" spans="1:14" ht="21" customHeight="1">
      <c r="A3" s="4"/>
      <c r="B3" s="31" t="s">
        <v>9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19</v>
      </c>
      <c r="J3" s="5"/>
      <c r="K3" s="72"/>
      <c r="L3" s="73"/>
      <c r="M3" s="73"/>
      <c r="N3" s="80"/>
    </row>
    <row r="4" spans="1:14" ht="18" customHeight="1">
      <c r="A4" s="4"/>
      <c r="B4" s="31"/>
      <c r="C4" s="10">
        <f>IF(DAY(НояВс1)=1,НояВс1-6,НояВс1+1)</f>
        <v>43766</v>
      </c>
      <c r="D4" s="10">
        <f>IF(DAY(НояВс1)=1,НояВс1-5,НояВс1+2)</f>
        <v>43767</v>
      </c>
      <c r="E4" s="10">
        <f>IF(DAY(НояВс1)=1,НояВс1-4,НояВс1+3)</f>
        <v>43768</v>
      </c>
      <c r="F4" s="10">
        <f>IF(DAY(НояВс1)=1,НояВс1-3,НояВс1+4)</f>
        <v>43769</v>
      </c>
      <c r="G4" s="10">
        <f>IF(DAY(НояВс1)=1,НояВс1-2,НояВс1+5)</f>
        <v>43770</v>
      </c>
      <c r="H4" s="10">
        <f>IF(DAY(НояВс1)=1,НояВс1-1,НояВс1+6)</f>
        <v>43771</v>
      </c>
      <c r="I4" s="10">
        <f>IF(DAY(НояВс1)=1,НояВс1,НояВс1+7)</f>
        <v>43772</v>
      </c>
      <c r="J4" s="5"/>
      <c r="K4" s="74"/>
      <c r="L4" s="16"/>
      <c r="M4" s="75"/>
      <c r="N4" s="76"/>
    </row>
    <row r="5" spans="1:14" ht="18" customHeight="1">
      <c r="A5" s="4"/>
      <c r="B5" s="28"/>
      <c r="C5" s="10">
        <f>IF(DAY(НояВс1)=1,НояВс1+1,НояВс1+8)</f>
        <v>43773</v>
      </c>
      <c r="D5" s="10">
        <f>IF(DAY(НояВс1)=1,НояВс1+2,НояВс1+9)</f>
        <v>43774</v>
      </c>
      <c r="E5" s="10">
        <f>IF(DAY(НояВс1)=1,НояВс1+3,НояВс1+10)</f>
        <v>43775</v>
      </c>
      <c r="F5" s="10">
        <f>IF(DAY(НояВс1)=1,НояВс1+4,НояВс1+11)</f>
        <v>43776</v>
      </c>
      <c r="G5" s="10">
        <f>IF(DAY(НояВс1)=1,НояВс1+5,НояВс1+12)</f>
        <v>43777</v>
      </c>
      <c r="H5" s="10">
        <f>IF(DAY(НояВс1)=1,НояВс1+6,НояВс1+13)</f>
        <v>43778</v>
      </c>
      <c r="I5" s="10">
        <f>IF(DAY(НояВс1)=1,НояВс1+7,НояВс1+14)</f>
        <v>43779</v>
      </c>
      <c r="J5" s="5"/>
      <c r="K5" s="66"/>
      <c r="L5" s="17"/>
      <c r="M5" s="36"/>
      <c r="N5" s="37"/>
    </row>
    <row r="6" spans="1:14" ht="18" customHeight="1">
      <c r="A6" s="4"/>
      <c r="B6" s="28"/>
      <c r="C6" s="10">
        <f>IF(DAY(НояВс1)=1,НояВс1+8,НояВс1+15)</f>
        <v>43780</v>
      </c>
      <c r="D6" s="10">
        <f>IF(DAY(НояВс1)=1,НояВс1+9,НояВс1+16)</f>
        <v>43781</v>
      </c>
      <c r="E6" s="10">
        <f>IF(DAY(НояВс1)=1,НояВс1+10,НояВс1+17)</f>
        <v>43782</v>
      </c>
      <c r="F6" s="10">
        <f>IF(DAY(НояВс1)=1,НояВс1+11,НояВс1+18)</f>
        <v>43783</v>
      </c>
      <c r="G6" s="10">
        <f>IF(DAY(НояВс1)=1,НояВс1+12,НояВс1+19)</f>
        <v>43784</v>
      </c>
      <c r="H6" s="10">
        <f>IF(DAY(НояВс1)=1,НояВс1+13,НояВс1+20)</f>
        <v>43785</v>
      </c>
      <c r="I6" s="10">
        <f>IF(DAY(НояВс1)=1,НояВс1+14,НояВс1+21)</f>
        <v>43786</v>
      </c>
      <c r="J6" s="5"/>
      <c r="K6" s="66"/>
      <c r="L6" s="17"/>
      <c r="M6" s="36"/>
      <c r="N6" s="37"/>
    </row>
    <row r="7" spans="1:14" ht="18" customHeight="1">
      <c r="A7" s="4"/>
      <c r="B7" s="28"/>
      <c r="C7" s="10">
        <f>IF(DAY(НояВс1)=1,НояВс1+15,НояВс1+22)</f>
        <v>43787</v>
      </c>
      <c r="D7" s="10">
        <f>IF(DAY(НояВс1)=1,НояВс1+16,НояВс1+23)</f>
        <v>43788</v>
      </c>
      <c r="E7" s="10">
        <f>IF(DAY(НояВс1)=1,НояВс1+17,НояВс1+24)</f>
        <v>43789</v>
      </c>
      <c r="F7" s="10">
        <f>IF(DAY(НояВс1)=1,НояВс1+18,НояВс1+25)</f>
        <v>43790</v>
      </c>
      <c r="G7" s="10">
        <f>IF(DAY(НояВс1)=1,НояВс1+19,НояВс1+26)</f>
        <v>43791</v>
      </c>
      <c r="H7" s="10">
        <f>IF(DAY(НояВс1)=1,НояВс1+20,НояВс1+27)</f>
        <v>43792</v>
      </c>
      <c r="I7" s="10">
        <f>IF(DAY(НояВс1)=1,НояВс1+21,НояВс1+28)</f>
        <v>43793</v>
      </c>
      <c r="J7" s="5"/>
      <c r="K7" s="11"/>
      <c r="L7" s="17"/>
      <c r="M7" s="36"/>
      <c r="N7" s="37"/>
    </row>
    <row r="8" spans="1:14" ht="18.75" customHeight="1">
      <c r="A8" s="4"/>
      <c r="B8" s="28"/>
      <c r="C8" s="10">
        <f>IF(DAY(НояВс1)=1,НояВс1+22,НояВс1+29)</f>
        <v>43794</v>
      </c>
      <c r="D8" s="10">
        <f>IF(DAY(НояВс1)=1,НояВс1+23,НояВс1+30)</f>
        <v>43795</v>
      </c>
      <c r="E8" s="10">
        <f>IF(DAY(НояВс1)=1,НояВс1+24,НояВс1+31)</f>
        <v>43796</v>
      </c>
      <c r="F8" s="10">
        <f>IF(DAY(НояВс1)=1,НояВс1+25,НояВс1+32)</f>
        <v>43797</v>
      </c>
      <c r="G8" s="10">
        <f>IF(DAY(НояВс1)=1,НояВс1+26,НояВс1+33)</f>
        <v>43798</v>
      </c>
      <c r="H8" s="10">
        <f>IF(DAY(НояВс1)=1,НояВс1+27,НояВс1+34)</f>
        <v>43799</v>
      </c>
      <c r="I8" s="10">
        <f>IF(DAY(НояВс1)=1,НояВс1+28,НояВс1+35)</f>
        <v>43800</v>
      </c>
      <c r="J8" s="5"/>
      <c r="K8" s="11"/>
      <c r="L8" s="17"/>
      <c r="M8" s="36"/>
      <c r="N8" s="37"/>
    </row>
    <row r="9" spans="1:14" ht="18" customHeight="1">
      <c r="A9" s="4"/>
      <c r="B9" s="28"/>
      <c r="C9" s="10">
        <f>IF(DAY(НояВс1)=1,НояВс1+29,НояВс1+36)</f>
        <v>43801</v>
      </c>
      <c r="D9" s="10">
        <f>IF(DAY(НояВс1)=1,НояВс1+30,НояВс1+37)</f>
        <v>43802</v>
      </c>
      <c r="E9" s="10">
        <f>IF(DAY(НояВс1)=1,НояВс1+31,НояВс1+38)</f>
        <v>43803</v>
      </c>
      <c r="F9" s="10">
        <f>IF(DAY(НояВс1)=1,НояВс1+32,НояВс1+39)</f>
        <v>43804</v>
      </c>
      <c r="G9" s="10">
        <f>IF(DAY(НояВс1)=1,НояВс1+33,НояВс1+40)</f>
        <v>43805</v>
      </c>
      <c r="H9" s="10">
        <f>IF(DAY(НояВс1)=1,НояВс1+34,НояВс1+41)</f>
        <v>43806</v>
      </c>
      <c r="I9" s="10">
        <f>IF(DAY(НояВс1)=1,НояВс1+35,НояВс1+42)</f>
        <v>43807</v>
      </c>
      <c r="J9" s="5"/>
      <c r="K9" s="12"/>
      <c r="L9" s="18"/>
      <c r="M9" s="40"/>
      <c r="N9" s="41"/>
    </row>
    <row r="10" spans="1:14" ht="18" customHeight="1">
      <c r="A10" s="4"/>
      <c r="B10" s="29"/>
      <c r="C10" s="23"/>
      <c r="D10" s="23"/>
      <c r="E10" s="23"/>
      <c r="F10" s="23"/>
      <c r="G10" s="23"/>
      <c r="H10" s="23"/>
      <c r="I10" s="23"/>
      <c r="J10" s="24"/>
      <c r="K10" s="65"/>
      <c r="L10" s="16"/>
      <c r="M10" s="42"/>
      <c r="N10" s="43"/>
    </row>
    <row r="11" spans="1:14" ht="18" customHeight="1">
      <c r="A11" s="4"/>
      <c r="B11" s="33" t="s">
        <v>1</v>
      </c>
      <c r="C11" s="34"/>
      <c r="D11" s="34"/>
      <c r="E11" s="34"/>
      <c r="F11" s="34"/>
      <c r="G11" s="34"/>
      <c r="H11" s="34"/>
      <c r="I11" s="34"/>
      <c r="J11" s="35"/>
      <c r="K11" s="66"/>
      <c r="L11" s="17"/>
      <c r="M11" s="36"/>
      <c r="N11" s="37"/>
    </row>
    <row r="12" spans="1:14" ht="18" customHeight="1">
      <c r="A12" s="4"/>
      <c r="B12" s="33"/>
      <c r="C12" s="34"/>
      <c r="D12" s="34"/>
      <c r="E12" s="34"/>
      <c r="F12" s="34"/>
      <c r="G12" s="34"/>
      <c r="H12" s="34"/>
      <c r="I12" s="34"/>
      <c r="J12" s="35"/>
      <c r="K12" s="66"/>
      <c r="L12" s="17"/>
      <c r="M12" s="36"/>
      <c r="N12" s="37"/>
    </row>
    <row r="13" spans="2:14" ht="18" customHeight="1">
      <c r="B13" s="3" t="s">
        <v>2</v>
      </c>
      <c r="C13" s="67" t="s">
        <v>3</v>
      </c>
      <c r="D13" s="69"/>
      <c r="E13" s="67" t="s">
        <v>4</v>
      </c>
      <c r="F13" s="69"/>
      <c r="G13" s="67" t="s">
        <v>5</v>
      </c>
      <c r="H13" s="69"/>
      <c r="I13" s="67" t="s">
        <v>6</v>
      </c>
      <c r="J13" s="68"/>
      <c r="K13" s="11"/>
      <c r="L13" s="17"/>
      <c r="M13" s="36"/>
      <c r="N13" s="37"/>
    </row>
    <row r="14" spans="2:14" ht="18" customHeight="1">
      <c r="B14" s="8"/>
      <c r="C14" s="44"/>
      <c r="D14" s="45"/>
      <c r="E14" s="44"/>
      <c r="F14" s="45"/>
      <c r="G14" s="44"/>
      <c r="H14" s="45"/>
      <c r="I14" s="44"/>
      <c r="J14" s="59"/>
      <c r="K14" s="11"/>
      <c r="L14" s="17"/>
      <c r="M14" s="36"/>
      <c r="N14" s="37"/>
    </row>
    <row r="15" spans="2:14" ht="18" customHeight="1">
      <c r="B15" s="6"/>
      <c r="C15" s="46"/>
      <c r="D15" s="47"/>
      <c r="E15" s="46"/>
      <c r="F15" s="47"/>
      <c r="G15" s="46"/>
      <c r="H15" s="47"/>
      <c r="I15" s="57"/>
      <c r="J15" s="58"/>
      <c r="K15" s="13"/>
      <c r="L15" s="19"/>
      <c r="M15" s="40"/>
      <c r="N15" s="41"/>
    </row>
    <row r="16" spans="2:14" ht="18" customHeight="1">
      <c r="B16" s="8"/>
      <c r="C16" s="44"/>
      <c r="D16" s="45"/>
      <c r="E16" s="44"/>
      <c r="F16" s="45"/>
      <c r="G16" s="44"/>
      <c r="H16" s="45"/>
      <c r="I16" s="53"/>
      <c r="J16" s="54"/>
      <c r="K16" s="65"/>
      <c r="L16" s="16"/>
      <c r="M16" s="42"/>
      <c r="N16" s="43"/>
    </row>
    <row r="17" spans="2:14" ht="18" customHeight="1">
      <c r="B17" s="6"/>
      <c r="C17" s="46"/>
      <c r="D17" s="47"/>
      <c r="E17" s="46"/>
      <c r="F17" s="47"/>
      <c r="G17" s="46"/>
      <c r="H17" s="47"/>
      <c r="I17" s="57"/>
      <c r="J17" s="58"/>
      <c r="K17" s="66"/>
      <c r="L17" s="17"/>
      <c r="M17" s="36"/>
      <c r="N17" s="37"/>
    </row>
    <row r="18" spans="2:14" ht="18" customHeight="1">
      <c r="B18" s="9"/>
      <c r="C18" s="62"/>
      <c r="D18" s="63"/>
      <c r="E18" s="62"/>
      <c r="F18" s="63"/>
      <c r="G18" s="62"/>
      <c r="H18" s="63"/>
      <c r="I18" s="62"/>
      <c r="J18" s="64"/>
      <c r="K18" s="66"/>
      <c r="L18" s="17"/>
      <c r="M18" s="36"/>
      <c r="N18" s="37"/>
    </row>
    <row r="19" spans="2:14" ht="18" customHeight="1">
      <c r="B19" s="6"/>
      <c r="C19" s="46"/>
      <c r="D19" s="47"/>
      <c r="E19" s="46"/>
      <c r="F19" s="47"/>
      <c r="G19" s="46"/>
      <c r="H19" s="47"/>
      <c r="I19" s="57"/>
      <c r="J19" s="58"/>
      <c r="K19" s="11"/>
      <c r="L19" s="17"/>
      <c r="M19" s="36"/>
      <c r="N19" s="37"/>
    </row>
    <row r="20" spans="2:14" ht="18" customHeight="1">
      <c r="B20" s="8"/>
      <c r="C20" s="44"/>
      <c r="D20" s="45"/>
      <c r="E20" s="44"/>
      <c r="F20" s="45"/>
      <c r="G20" s="44"/>
      <c r="H20" s="45"/>
      <c r="I20" s="44"/>
      <c r="J20" s="59"/>
      <c r="K20" s="11"/>
      <c r="L20" s="17"/>
      <c r="M20" s="36"/>
      <c r="N20" s="37"/>
    </row>
    <row r="21" spans="2:14" ht="18" customHeight="1">
      <c r="B21" s="6"/>
      <c r="C21" s="46"/>
      <c r="D21" s="47"/>
      <c r="E21" s="46"/>
      <c r="F21" s="47"/>
      <c r="G21" s="46"/>
      <c r="H21" s="47"/>
      <c r="I21" s="60"/>
      <c r="J21" s="61"/>
      <c r="K21" s="13"/>
      <c r="L21" s="19"/>
      <c r="M21" s="40"/>
      <c r="N21" s="41"/>
    </row>
    <row r="22" spans="2:14" ht="18" customHeight="1">
      <c r="B22" s="8"/>
      <c r="C22" s="44"/>
      <c r="D22" s="45"/>
      <c r="E22" s="44"/>
      <c r="F22" s="45"/>
      <c r="G22" s="44"/>
      <c r="H22" s="45"/>
      <c r="I22" s="44"/>
      <c r="J22" s="59"/>
      <c r="K22" s="65"/>
      <c r="L22" s="16"/>
      <c r="M22" s="42"/>
      <c r="N22" s="43"/>
    </row>
    <row r="23" spans="2:14" ht="18" customHeight="1">
      <c r="B23" s="6"/>
      <c r="C23" s="46"/>
      <c r="D23" s="47"/>
      <c r="E23" s="46"/>
      <c r="F23" s="47"/>
      <c r="G23" s="46"/>
      <c r="H23" s="47"/>
      <c r="I23" s="57"/>
      <c r="J23" s="58"/>
      <c r="K23" s="66"/>
      <c r="L23" s="17"/>
      <c r="M23" s="36"/>
      <c r="N23" s="37"/>
    </row>
    <row r="24" spans="2:14" ht="18" customHeight="1">
      <c r="B24" s="8"/>
      <c r="C24" s="44"/>
      <c r="D24" s="45"/>
      <c r="E24" s="44"/>
      <c r="F24" s="45"/>
      <c r="G24" s="44"/>
      <c r="H24" s="45"/>
      <c r="I24" s="44"/>
      <c r="J24" s="59"/>
      <c r="K24" s="66"/>
      <c r="L24" s="17"/>
      <c r="M24" s="36"/>
      <c r="N24" s="37"/>
    </row>
    <row r="25" spans="2:14" ht="18" customHeight="1">
      <c r="B25" s="6"/>
      <c r="C25" s="46"/>
      <c r="D25" s="47"/>
      <c r="E25" s="46"/>
      <c r="F25" s="47"/>
      <c r="G25" s="46"/>
      <c r="H25" s="47"/>
      <c r="I25" s="57"/>
      <c r="J25" s="58"/>
      <c r="K25" s="66"/>
      <c r="L25" s="17"/>
      <c r="M25" s="36"/>
      <c r="N25" s="37"/>
    </row>
    <row r="26" spans="2:14" ht="18" customHeight="1">
      <c r="B26" s="8"/>
      <c r="C26" s="44"/>
      <c r="D26" s="45"/>
      <c r="E26" s="44"/>
      <c r="F26" s="45"/>
      <c r="G26" s="44"/>
      <c r="H26" s="45"/>
      <c r="I26" s="44"/>
      <c r="J26" s="59"/>
      <c r="K26" s="11"/>
      <c r="L26" s="17"/>
      <c r="M26" s="36"/>
      <c r="N26" s="37"/>
    </row>
    <row r="27" spans="2:14" ht="18" customHeight="1">
      <c r="B27" s="6"/>
      <c r="C27" s="46"/>
      <c r="D27" s="47"/>
      <c r="E27" s="46"/>
      <c r="F27" s="47"/>
      <c r="G27" s="46"/>
      <c r="H27" s="47"/>
      <c r="I27" s="57"/>
      <c r="J27" s="58"/>
      <c r="K27" s="13"/>
      <c r="L27" s="19"/>
      <c r="M27" s="40"/>
      <c r="N27" s="41"/>
    </row>
    <row r="28" spans="2:14" ht="18" customHeight="1">
      <c r="B28" s="8"/>
      <c r="C28" s="44"/>
      <c r="D28" s="45"/>
      <c r="E28" s="44"/>
      <c r="F28" s="45"/>
      <c r="G28" s="44"/>
      <c r="H28" s="45"/>
      <c r="I28" s="44"/>
      <c r="J28" s="59"/>
      <c r="K28" s="65"/>
      <c r="L28" s="16"/>
      <c r="M28" s="42"/>
      <c r="N28" s="43"/>
    </row>
    <row r="29" spans="2:14" ht="18" customHeight="1">
      <c r="B29" s="6"/>
      <c r="C29" s="46"/>
      <c r="D29" s="47"/>
      <c r="E29" s="46"/>
      <c r="F29" s="47"/>
      <c r="G29" s="46"/>
      <c r="H29" s="47"/>
      <c r="I29" s="46"/>
      <c r="J29" s="52"/>
      <c r="K29" s="66"/>
      <c r="L29" s="17"/>
      <c r="M29" s="36"/>
      <c r="N29" s="37"/>
    </row>
    <row r="30" spans="2:14" ht="18" customHeight="1">
      <c r="B30" s="8"/>
      <c r="C30" s="44"/>
      <c r="D30" s="45"/>
      <c r="E30" s="44"/>
      <c r="F30" s="45"/>
      <c r="G30" s="44"/>
      <c r="H30" s="45"/>
      <c r="I30" s="50"/>
      <c r="J30" s="51"/>
      <c r="K30" s="66"/>
      <c r="L30" s="17"/>
      <c r="M30" s="36"/>
      <c r="N30" s="37"/>
    </row>
    <row r="31" spans="2:14" ht="18" customHeight="1">
      <c r="B31" s="6"/>
      <c r="C31" s="46"/>
      <c r="D31" s="47"/>
      <c r="E31" s="46"/>
      <c r="F31" s="47"/>
      <c r="G31" s="46"/>
      <c r="H31" s="47"/>
      <c r="I31" s="46"/>
      <c r="J31" s="52"/>
      <c r="K31" s="14"/>
      <c r="L31" s="17"/>
      <c r="M31" s="36"/>
      <c r="N31" s="37"/>
    </row>
    <row r="32" spans="2:14" ht="18" customHeight="1">
      <c r="B32" s="8"/>
      <c r="C32" s="44"/>
      <c r="D32" s="45"/>
      <c r="E32" s="44"/>
      <c r="F32" s="45"/>
      <c r="G32" s="44"/>
      <c r="H32" s="45"/>
      <c r="I32" s="53"/>
      <c r="J32" s="54"/>
      <c r="K32" s="14"/>
      <c r="L32" s="17"/>
      <c r="M32" s="36"/>
      <c r="N32" s="37"/>
    </row>
    <row r="33" spans="2:14" ht="18" customHeight="1">
      <c r="B33" s="7"/>
      <c r="C33" s="48"/>
      <c r="D33" s="49"/>
      <c r="E33" s="48"/>
      <c r="F33" s="49"/>
      <c r="G33" s="48"/>
      <c r="H33" s="49"/>
      <c r="I33" s="55"/>
      <c r="J33" s="56"/>
      <c r="K33" s="15"/>
      <c r="L33" s="20"/>
      <c r="M33" s="38"/>
      <c r="N33" s="39"/>
    </row>
  </sheetData>
  <sheetProtection/>
  <mergeCells count="123">
    <mergeCell ref="C13:D13"/>
    <mergeCell ref="E13:F13"/>
    <mergeCell ref="G13:H13"/>
    <mergeCell ref="I13:J13"/>
    <mergeCell ref="M13:N13"/>
    <mergeCell ref="B3:B4"/>
    <mergeCell ref="K2:M3"/>
    <mergeCell ref="K4:K6"/>
    <mergeCell ref="M4:N4"/>
    <mergeCell ref="M5:N5"/>
    <mergeCell ref="K10:K12"/>
    <mergeCell ref="N2:N3"/>
    <mergeCell ref="M10:N10"/>
    <mergeCell ref="B11:J12"/>
    <mergeCell ref="M11:N11"/>
    <mergeCell ref="M12:N12"/>
    <mergeCell ref="M6:N6"/>
    <mergeCell ref="M7:N7"/>
    <mergeCell ref="M8:N8"/>
    <mergeCell ref="M9:N9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M17:N17"/>
    <mergeCell ref="C18:D18"/>
    <mergeCell ref="E18:F18"/>
    <mergeCell ref="G18:H18"/>
    <mergeCell ref="I18:J18"/>
    <mergeCell ref="M18:N18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E24:F24"/>
    <mergeCell ref="G24:H24"/>
    <mergeCell ref="I24:J24"/>
    <mergeCell ref="M24:N24"/>
    <mergeCell ref="C25:D25"/>
    <mergeCell ref="E25:F25"/>
    <mergeCell ref="G25:H25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G27:H27"/>
    <mergeCell ref="I27:J27"/>
    <mergeCell ref="M27:N27"/>
    <mergeCell ref="M22:N22"/>
    <mergeCell ref="C23:D23"/>
    <mergeCell ref="E23:F23"/>
    <mergeCell ref="G23:H23"/>
    <mergeCell ref="I23:J23"/>
    <mergeCell ref="M23:N23"/>
    <mergeCell ref="C24:D24"/>
    <mergeCell ref="I29:J29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C32:D32"/>
    <mergeCell ref="E32:F32"/>
    <mergeCell ref="G32:H32"/>
    <mergeCell ref="I32:J32"/>
    <mergeCell ref="M32:N32"/>
    <mergeCell ref="M29:N29"/>
    <mergeCell ref="C30:D30"/>
    <mergeCell ref="E30:F30"/>
    <mergeCell ref="G30:H30"/>
    <mergeCell ref="I30:J30"/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</mergeCells>
  <conditionalFormatting sqref="C4:H4">
    <cfRule type="expression" priority="3" dxfId="2" stopIfTrue="1">
      <formula>DAY(C4)&gt;8</formula>
    </cfRule>
  </conditionalFormatting>
  <conditionalFormatting sqref="C8:I10">
    <cfRule type="expression" priority="2" dxfId="2" stopIfTrue="1">
      <formula>AND(DAY(C8)&gt;=1,DAY(C8)&lt;=15)</formula>
    </cfRule>
  </conditionalFormatting>
  <conditionalFormatting sqref="C4:I9">
    <cfRule type="expression" priority="4" dxfId="1">
      <formula>VLOOKUP(DAY(C4),КоличествоДней,1,FALSE)=DAY(C4)</formula>
    </cfRule>
  </conditionalFormatting>
  <conditionalFormatting sqref="B14:J33">
    <cfRule type="expression" priority="1" dxfId="0">
      <formula>B14&lt;&gt;""</formula>
    </cfRule>
  </conditionalFormatting>
  <printOptions horizontalCentered="1" verticalCentered="1"/>
  <pageMargins left="0.5" right="0.5" top="0.5" bottom="0.5" header="0.3" footer="0.3"/>
  <pageSetup fitToHeight="1" fitToWidth="1" horizontalDpi="600" verticalDpi="600" orientation="landscape" paperSize="9" scale="91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2:N33"/>
  <sheetViews>
    <sheetView showGridLines="0" zoomScalePageLayoutView="84" workbookViewId="0" topLeftCell="A1">
      <selection activeCell="N2" sqref="N2:N3"/>
    </sheetView>
  </sheetViews>
  <sheetFormatPr defaultColWidth="8.7109375" defaultRowHeight="16.5" customHeight="1"/>
  <cols>
    <col min="1" max="1" width="2.28125" style="1" customWidth="1"/>
    <col min="2" max="2" width="17.57421875" style="1" customWidth="1"/>
    <col min="3" max="10" width="9.140625" style="1" customWidth="1"/>
    <col min="11" max="11" width="7.28125" style="1" customWidth="1"/>
    <col min="12" max="12" width="3.8515625" style="0" customWidth="1"/>
    <col min="13" max="13" width="51.421875" style="1" customWidth="1"/>
    <col min="14" max="14" width="10.7109375" style="1" customWidth="1"/>
    <col min="15" max="15" width="2.28125" style="0" customWidth="1"/>
    <col min="16" max="16384" width="8.7109375" style="1" customWidth="1"/>
  </cols>
  <sheetData>
    <row r="1" ht="11.25" customHeight="1"/>
    <row r="2" spans="1:14" ht="18" customHeight="1">
      <c r="A2" s="4"/>
      <c r="B2" s="30"/>
      <c r="C2" s="21"/>
      <c r="D2" s="21"/>
      <c r="E2" s="21"/>
      <c r="F2" s="21"/>
      <c r="G2" s="21"/>
      <c r="H2" s="21"/>
      <c r="I2" s="21"/>
      <c r="J2" s="22"/>
      <c r="K2" s="70" t="s">
        <v>20</v>
      </c>
      <c r="L2" s="71">
        <v>2013</v>
      </c>
      <c r="M2" s="71"/>
      <c r="N2" s="79">
        <f>КалендарныйГод</f>
        <v>2019</v>
      </c>
    </row>
    <row r="3" spans="1:14" ht="21" customHeight="1">
      <c r="A3" s="4"/>
      <c r="B3" s="31" t="s">
        <v>10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19</v>
      </c>
      <c r="J3" s="5"/>
      <c r="K3" s="72"/>
      <c r="L3" s="73"/>
      <c r="M3" s="73"/>
      <c r="N3" s="80"/>
    </row>
    <row r="4" spans="1:14" ht="18" customHeight="1">
      <c r="A4" s="4"/>
      <c r="B4" s="31"/>
      <c r="C4" s="10">
        <f>IF(DAY(ДекВс1)=1,ДекВс1-6,ДекВс1+1)</f>
        <v>43794</v>
      </c>
      <c r="D4" s="10">
        <f>IF(DAY(ДекВс1)=1,ДекВс1-5,ДекВс1+2)</f>
        <v>43795</v>
      </c>
      <c r="E4" s="10">
        <f>IF(DAY(ДекВс1)=1,ДекВс1-4,ДекВс1+3)</f>
        <v>43796</v>
      </c>
      <c r="F4" s="10">
        <f>IF(DAY(ДекВс1)=1,ДекВс1-3,ДекВс1+4)</f>
        <v>43797</v>
      </c>
      <c r="G4" s="10">
        <f>IF(DAY(ДекВс1)=1,ДекВс1-2,ДекВс1+5)</f>
        <v>43798</v>
      </c>
      <c r="H4" s="10">
        <f>IF(DAY(ДекВс1)=1,ДекВс1-1,ДекВс1+6)</f>
        <v>43799</v>
      </c>
      <c r="I4" s="10">
        <f>IF(DAY(ДекВс1)=1,ДекВс1,ДекВс1+7)</f>
        <v>43800</v>
      </c>
      <c r="J4" s="5"/>
      <c r="K4" s="74"/>
      <c r="L4" s="16"/>
      <c r="M4" s="75"/>
      <c r="N4" s="76"/>
    </row>
    <row r="5" spans="1:14" ht="18" customHeight="1">
      <c r="A5" s="4"/>
      <c r="B5" s="28"/>
      <c r="C5" s="10">
        <f>IF(DAY(ДекВс1)=1,ДекВс1+1,ДекВс1+8)</f>
        <v>43801</v>
      </c>
      <c r="D5" s="10">
        <f>IF(DAY(ДекВс1)=1,ДекВс1+2,ДекВс1+9)</f>
        <v>43802</v>
      </c>
      <c r="E5" s="10">
        <f>IF(DAY(ДекВс1)=1,ДекВс1+3,ДекВс1+10)</f>
        <v>43803</v>
      </c>
      <c r="F5" s="10">
        <f>IF(DAY(ДекВс1)=1,ДекВс1+4,ДекВс1+11)</f>
        <v>43804</v>
      </c>
      <c r="G5" s="10">
        <f>IF(DAY(ДекВс1)=1,ДекВс1+5,ДекВс1+12)</f>
        <v>43805</v>
      </c>
      <c r="H5" s="10">
        <f>IF(DAY(ДекВс1)=1,ДекВс1+6,ДекВс1+13)</f>
        <v>43806</v>
      </c>
      <c r="I5" s="10">
        <f>IF(DAY(ДекВс1)=1,ДекВс1+7,ДекВс1+14)</f>
        <v>43807</v>
      </c>
      <c r="J5" s="5"/>
      <c r="K5" s="66"/>
      <c r="L5" s="17"/>
      <c r="M5" s="36"/>
      <c r="N5" s="37"/>
    </row>
    <row r="6" spans="1:14" ht="18" customHeight="1">
      <c r="A6" s="4"/>
      <c r="B6" s="28"/>
      <c r="C6" s="10">
        <f>IF(DAY(ДекВс1)=1,ДекВс1+8,ДекВс1+15)</f>
        <v>43808</v>
      </c>
      <c r="D6" s="10">
        <f>IF(DAY(ДекВс1)=1,ДекВс1+9,ДекВс1+16)</f>
        <v>43809</v>
      </c>
      <c r="E6" s="10">
        <f>IF(DAY(ДекВс1)=1,ДекВс1+10,ДекВс1+17)</f>
        <v>43810</v>
      </c>
      <c r="F6" s="10">
        <f>IF(DAY(ДекВс1)=1,ДекВс1+11,ДекВс1+18)</f>
        <v>43811</v>
      </c>
      <c r="G6" s="10">
        <f>IF(DAY(ДекВс1)=1,ДекВс1+12,ДекВс1+19)</f>
        <v>43812</v>
      </c>
      <c r="H6" s="10">
        <f>IF(DAY(ДекВс1)=1,ДекВс1+13,ДекВс1+20)</f>
        <v>43813</v>
      </c>
      <c r="I6" s="10">
        <f>IF(DAY(ДекВс1)=1,ДекВс1+14,ДекВс1+21)</f>
        <v>43814</v>
      </c>
      <c r="J6" s="5"/>
      <c r="K6" s="66"/>
      <c r="L6" s="17"/>
      <c r="M6" s="36"/>
      <c r="N6" s="37"/>
    </row>
    <row r="7" spans="1:14" ht="18" customHeight="1">
      <c r="A7" s="4"/>
      <c r="B7" s="28"/>
      <c r="C7" s="10">
        <f>IF(DAY(ДекВс1)=1,ДекВс1+15,ДекВс1+22)</f>
        <v>43815</v>
      </c>
      <c r="D7" s="10">
        <f>IF(DAY(ДекВс1)=1,ДекВс1+16,ДекВс1+23)</f>
        <v>43816</v>
      </c>
      <c r="E7" s="10">
        <f>IF(DAY(ДекВс1)=1,ДекВс1+17,ДекВс1+24)</f>
        <v>43817</v>
      </c>
      <c r="F7" s="10">
        <f>IF(DAY(ДекВс1)=1,ДекВс1+18,ДекВс1+25)</f>
        <v>43818</v>
      </c>
      <c r="G7" s="10">
        <f>IF(DAY(ДекВс1)=1,ДекВс1+19,ДекВс1+26)</f>
        <v>43819</v>
      </c>
      <c r="H7" s="10">
        <f>IF(DAY(ДекВс1)=1,ДекВс1+20,ДекВс1+27)</f>
        <v>43820</v>
      </c>
      <c r="I7" s="10">
        <f>IF(DAY(ДекВс1)=1,ДекВс1+21,ДекВс1+28)</f>
        <v>43821</v>
      </c>
      <c r="J7" s="5"/>
      <c r="K7" s="11"/>
      <c r="L7" s="17"/>
      <c r="M7" s="36"/>
      <c r="N7" s="37"/>
    </row>
    <row r="8" spans="1:14" ht="18.75" customHeight="1">
      <c r="A8" s="4"/>
      <c r="B8" s="28"/>
      <c r="C8" s="10">
        <f>IF(DAY(ДекВс1)=1,ДекВс1+22,ДекВс1+29)</f>
        <v>43822</v>
      </c>
      <c r="D8" s="10">
        <f>IF(DAY(ДекВс1)=1,ДекВс1+23,ДекВс1+30)</f>
        <v>43823</v>
      </c>
      <c r="E8" s="10">
        <f>IF(DAY(ДекВс1)=1,ДекВс1+24,ДекВс1+31)</f>
        <v>43824</v>
      </c>
      <c r="F8" s="10">
        <f>IF(DAY(ДекВс1)=1,ДекВс1+25,ДекВс1+32)</f>
        <v>43825</v>
      </c>
      <c r="G8" s="10">
        <f>IF(DAY(ДекВс1)=1,ДекВс1+26,ДекВс1+33)</f>
        <v>43826</v>
      </c>
      <c r="H8" s="10">
        <f>IF(DAY(ДекВс1)=1,ДекВс1+27,ДекВс1+34)</f>
        <v>43827</v>
      </c>
      <c r="I8" s="10">
        <f>IF(DAY(ДекВс1)=1,ДекВс1+28,ДекВс1+35)</f>
        <v>43828</v>
      </c>
      <c r="J8" s="5"/>
      <c r="K8" s="11"/>
      <c r="L8" s="17"/>
      <c r="M8" s="36"/>
      <c r="N8" s="37"/>
    </row>
    <row r="9" spans="1:14" ht="18" customHeight="1">
      <c r="A9" s="4"/>
      <c r="B9" s="28"/>
      <c r="C9" s="10">
        <f>IF(DAY(ДекВс1)=1,ДекВс1+29,ДекВс1+36)</f>
        <v>43829</v>
      </c>
      <c r="D9" s="10">
        <f>IF(DAY(ДекВс1)=1,ДекВс1+30,ДекВс1+37)</f>
        <v>43830</v>
      </c>
      <c r="E9" s="10">
        <f>IF(DAY(ДекВс1)=1,ДекВс1+31,ДекВс1+38)</f>
        <v>43831</v>
      </c>
      <c r="F9" s="10">
        <f>IF(DAY(ДекВс1)=1,ДекВс1+32,ДекВс1+39)</f>
        <v>43832</v>
      </c>
      <c r="G9" s="10">
        <f>IF(DAY(ДекВс1)=1,ДекВс1+33,ДекВс1+40)</f>
        <v>43833</v>
      </c>
      <c r="H9" s="10">
        <f>IF(DAY(ДекВс1)=1,ДекВс1+34,ДекВс1+41)</f>
        <v>43834</v>
      </c>
      <c r="I9" s="10">
        <f>IF(DAY(ДекВс1)=1,ДекВс1+35,ДекВс1+42)</f>
        <v>43835</v>
      </c>
      <c r="J9" s="5"/>
      <c r="K9" s="12"/>
      <c r="L9" s="18"/>
      <c r="M9" s="40"/>
      <c r="N9" s="41"/>
    </row>
    <row r="10" spans="1:14" ht="18" customHeight="1">
      <c r="A10" s="4"/>
      <c r="B10" s="29"/>
      <c r="C10" s="23"/>
      <c r="D10" s="23"/>
      <c r="E10" s="23"/>
      <c r="F10" s="23"/>
      <c r="G10" s="23"/>
      <c r="H10" s="23"/>
      <c r="I10" s="23"/>
      <c r="J10" s="24"/>
      <c r="K10" s="65"/>
      <c r="L10" s="16"/>
      <c r="M10" s="42"/>
      <c r="N10" s="43"/>
    </row>
    <row r="11" spans="1:14" ht="18" customHeight="1">
      <c r="A11" s="4"/>
      <c r="B11" s="33" t="s">
        <v>1</v>
      </c>
      <c r="C11" s="34"/>
      <c r="D11" s="34"/>
      <c r="E11" s="34"/>
      <c r="F11" s="34"/>
      <c r="G11" s="34"/>
      <c r="H11" s="34"/>
      <c r="I11" s="34"/>
      <c r="J11" s="35"/>
      <c r="K11" s="66"/>
      <c r="L11" s="17"/>
      <c r="M11" s="36"/>
      <c r="N11" s="37"/>
    </row>
    <row r="12" spans="1:14" ht="18" customHeight="1">
      <c r="A12" s="4"/>
      <c r="B12" s="33"/>
      <c r="C12" s="34"/>
      <c r="D12" s="34"/>
      <c r="E12" s="34"/>
      <c r="F12" s="34"/>
      <c r="G12" s="34"/>
      <c r="H12" s="34"/>
      <c r="I12" s="34"/>
      <c r="J12" s="35"/>
      <c r="K12" s="66"/>
      <c r="L12" s="17"/>
      <c r="M12" s="36"/>
      <c r="N12" s="37"/>
    </row>
    <row r="13" spans="2:14" ht="18" customHeight="1">
      <c r="B13" s="3" t="s">
        <v>2</v>
      </c>
      <c r="C13" s="67" t="s">
        <v>3</v>
      </c>
      <c r="D13" s="69"/>
      <c r="E13" s="67" t="s">
        <v>4</v>
      </c>
      <c r="F13" s="69"/>
      <c r="G13" s="67" t="s">
        <v>5</v>
      </c>
      <c r="H13" s="69"/>
      <c r="I13" s="67" t="s">
        <v>6</v>
      </c>
      <c r="J13" s="68"/>
      <c r="K13" s="11"/>
      <c r="L13" s="17"/>
      <c r="M13" s="36"/>
      <c r="N13" s="37"/>
    </row>
    <row r="14" spans="2:14" ht="18" customHeight="1">
      <c r="B14" s="8"/>
      <c r="C14" s="44"/>
      <c r="D14" s="45"/>
      <c r="E14" s="44"/>
      <c r="F14" s="45"/>
      <c r="G14" s="44"/>
      <c r="H14" s="45"/>
      <c r="I14" s="44"/>
      <c r="J14" s="59"/>
      <c r="K14" s="11"/>
      <c r="L14" s="17"/>
      <c r="M14" s="36"/>
      <c r="N14" s="37"/>
    </row>
    <row r="15" spans="2:14" ht="18" customHeight="1">
      <c r="B15" s="6"/>
      <c r="C15" s="46"/>
      <c r="D15" s="47"/>
      <c r="E15" s="46"/>
      <c r="F15" s="47"/>
      <c r="G15" s="46"/>
      <c r="H15" s="47"/>
      <c r="I15" s="57"/>
      <c r="J15" s="58"/>
      <c r="K15" s="13"/>
      <c r="L15" s="19"/>
      <c r="M15" s="40"/>
      <c r="N15" s="41"/>
    </row>
    <row r="16" spans="2:14" ht="18" customHeight="1">
      <c r="B16" s="8"/>
      <c r="C16" s="44"/>
      <c r="D16" s="45"/>
      <c r="E16" s="44"/>
      <c r="F16" s="45"/>
      <c r="G16" s="44"/>
      <c r="H16" s="45"/>
      <c r="I16" s="53"/>
      <c r="J16" s="54"/>
      <c r="K16" s="65"/>
      <c r="L16" s="16"/>
      <c r="M16" s="42"/>
      <c r="N16" s="43"/>
    </row>
    <row r="17" spans="2:14" ht="18" customHeight="1">
      <c r="B17" s="6"/>
      <c r="C17" s="46"/>
      <c r="D17" s="47"/>
      <c r="E17" s="46"/>
      <c r="F17" s="47"/>
      <c r="G17" s="46"/>
      <c r="H17" s="47"/>
      <c r="I17" s="57"/>
      <c r="J17" s="58"/>
      <c r="K17" s="66"/>
      <c r="L17" s="17"/>
      <c r="M17" s="36"/>
      <c r="N17" s="37"/>
    </row>
    <row r="18" spans="2:14" ht="18" customHeight="1">
      <c r="B18" s="9"/>
      <c r="C18" s="62"/>
      <c r="D18" s="63"/>
      <c r="E18" s="62"/>
      <c r="F18" s="63"/>
      <c r="G18" s="62"/>
      <c r="H18" s="63"/>
      <c r="I18" s="62"/>
      <c r="J18" s="64"/>
      <c r="K18" s="66"/>
      <c r="L18" s="17"/>
      <c r="M18" s="36"/>
      <c r="N18" s="37"/>
    </row>
    <row r="19" spans="2:14" ht="18" customHeight="1">
      <c r="B19" s="6"/>
      <c r="C19" s="46"/>
      <c r="D19" s="47"/>
      <c r="E19" s="46"/>
      <c r="F19" s="47"/>
      <c r="G19" s="46"/>
      <c r="H19" s="47"/>
      <c r="I19" s="57"/>
      <c r="J19" s="58"/>
      <c r="K19" s="11"/>
      <c r="L19" s="17"/>
      <c r="M19" s="36"/>
      <c r="N19" s="37"/>
    </row>
    <row r="20" spans="2:14" ht="18" customHeight="1">
      <c r="B20" s="8"/>
      <c r="C20" s="44"/>
      <c r="D20" s="45"/>
      <c r="E20" s="44"/>
      <c r="F20" s="45"/>
      <c r="G20" s="44"/>
      <c r="H20" s="45"/>
      <c r="I20" s="44"/>
      <c r="J20" s="59"/>
      <c r="K20" s="11"/>
      <c r="L20" s="17"/>
      <c r="M20" s="36"/>
      <c r="N20" s="37"/>
    </row>
    <row r="21" spans="2:14" ht="18" customHeight="1">
      <c r="B21" s="6"/>
      <c r="C21" s="46"/>
      <c r="D21" s="47"/>
      <c r="E21" s="46"/>
      <c r="F21" s="47"/>
      <c r="G21" s="46"/>
      <c r="H21" s="47"/>
      <c r="I21" s="60"/>
      <c r="J21" s="61"/>
      <c r="K21" s="13"/>
      <c r="L21" s="19"/>
      <c r="M21" s="40"/>
      <c r="N21" s="41"/>
    </row>
    <row r="22" spans="2:14" ht="18" customHeight="1">
      <c r="B22" s="8"/>
      <c r="C22" s="44"/>
      <c r="D22" s="45"/>
      <c r="E22" s="44"/>
      <c r="F22" s="45"/>
      <c r="G22" s="44"/>
      <c r="H22" s="45"/>
      <c r="I22" s="44"/>
      <c r="J22" s="59"/>
      <c r="K22" s="65"/>
      <c r="L22" s="16"/>
      <c r="M22" s="42"/>
      <c r="N22" s="43"/>
    </row>
    <row r="23" spans="2:14" ht="18" customHeight="1">
      <c r="B23" s="6"/>
      <c r="C23" s="46"/>
      <c r="D23" s="47"/>
      <c r="E23" s="46"/>
      <c r="F23" s="47"/>
      <c r="G23" s="46"/>
      <c r="H23" s="47"/>
      <c r="I23" s="57"/>
      <c r="J23" s="58"/>
      <c r="K23" s="66"/>
      <c r="L23" s="17"/>
      <c r="M23" s="36"/>
      <c r="N23" s="37"/>
    </row>
    <row r="24" spans="2:14" ht="18" customHeight="1">
      <c r="B24" s="8"/>
      <c r="C24" s="44"/>
      <c r="D24" s="45"/>
      <c r="E24" s="44"/>
      <c r="F24" s="45"/>
      <c r="G24" s="44"/>
      <c r="H24" s="45"/>
      <c r="I24" s="44"/>
      <c r="J24" s="59"/>
      <c r="K24" s="66"/>
      <c r="L24" s="17"/>
      <c r="M24" s="36"/>
      <c r="N24" s="37"/>
    </row>
    <row r="25" spans="2:14" ht="18" customHeight="1">
      <c r="B25" s="6"/>
      <c r="C25" s="46"/>
      <c r="D25" s="47"/>
      <c r="E25" s="46"/>
      <c r="F25" s="47"/>
      <c r="G25" s="46"/>
      <c r="H25" s="47"/>
      <c r="I25" s="57"/>
      <c r="J25" s="58"/>
      <c r="K25" s="66"/>
      <c r="L25" s="17"/>
      <c r="M25" s="36"/>
      <c r="N25" s="37"/>
    </row>
    <row r="26" spans="2:14" ht="18" customHeight="1">
      <c r="B26" s="8"/>
      <c r="C26" s="44"/>
      <c r="D26" s="45"/>
      <c r="E26" s="44"/>
      <c r="F26" s="45"/>
      <c r="G26" s="44"/>
      <c r="H26" s="45"/>
      <c r="I26" s="44"/>
      <c r="J26" s="59"/>
      <c r="K26" s="11"/>
      <c r="L26" s="17"/>
      <c r="M26" s="36"/>
      <c r="N26" s="37"/>
    </row>
    <row r="27" spans="2:14" ht="18" customHeight="1">
      <c r="B27" s="6"/>
      <c r="C27" s="46"/>
      <c r="D27" s="47"/>
      <c r="E27" s="46"/>
      <c r="F27" s="47"/>
      <c r="G27" s="46"/>
      <c r="H27" s="47"/>
      <c r="I27" s="57"/>
      <c r="J27" s="58"/>
      <c r="K27" s="13"/>
      <c r="L27" s="19"/>
      <c r="M27" s="40"/>
      <c r="N27" s="41"/>
    </row>
    <row r="28" spans="2:14" ht="18" customHeight="1">
      <c r="B28" s="8"/>
      <c r="C28" s="44"/>
      <c r="D28" s="45"/>
      <c r="E28" s="44"/>
      <c r="F28" s="45"/>
      <c r="G28" s="44"/>
      <c r="H28" s="45"/>
      <c r="I28" s="44"/>
      <c r="J28" s="59"/>
      <c r="K28" s="65"/>
      <c r="L28" s="16"/>
      <c r="M28" s="42"/>
      <c r="N28" s="43"/>
    </row>
    <row r="29" spans="2:14" ht="18" customHeight="1">
      <c r="B29" s="6"/>
      <c r="C29" s="46"/>
      <c r="D29" s="47"/>
      <c r="E29" s="46"/>
      <c r="F29" s="47"/>
      <c r="G29" s="46"/>
      <c r="H29" s="47"/>
      <c r="I29" s="46"/>
      <c r="J29" s="52"/>
      <c r="K29" s="66"/>
      <c r="L29" s="17"/>
      <c r="M29" s="36"/>
      <c r="N29" s="37"/>
    </row>
    <row r="30" spans="2:14" ht="18" customHeight="1">
      <c r="B30" s="8"/>
      <c r="C30" s="44"/>
      <c r="D30" s="45"/>
      <c r="E30" s="44"/>
      <c r="F30" s="45"/>
      <c r="G30" s="44"/>
      <c r="H30" s="45"/>
      <c r="I30" s="50"/>
      <c r="J30" s="51"/>
      <c r="K30" s="66"/>
      <c r="L30" s="17"/>
      <c r="M30" s="36"/>
      <c r="N30" s="37"/>
    </row>
    <row r="31" spans="2:14" ht="18" customHeight="1">
      <c r="B31" s="6"/>
      <c r="C31" s="46"/>
      <c r="D31" s="47"/>
      <c r="E31" s="46"/>
      <c r="F31" s="47"/>
      <c r="G31" s="46"/>
      <c r="H31" s="47"/>
      <c r="I31" s="46"/>
      <c r="J31" s="52"/>
      <c r="K31" s="14"/>
      <c r="L31" s="17"/>
      <c r="M31" s="36"/>
      <c r="N31" s="37"/>
    </row>
    <row r="32" spans="2:14" ht="18" customHeight="1">
      <c r="B32" s="8"/>
      <c r="C32" s="44"/>
      <c r="D32" s="45"/>
      <c r="E32" s="44"/>
      <c r="F32" s="45"/>
      <c r="G32" s="44"/>
      <c r="H32" s="45"/>
      <c r="I32" s="53"/>
      <c r="J32" s="54"/>
      <c r="K32" s="14"/>
      <c r="L32" s="17"/>
      <c r="M32" s="36"/>
      <c r="N32" s="37"/>
    </row>
    <row r="33" spans="2:14" ht="18" customHeight="1">
      <c r="B33" s="7"/>
      <c r="C33" s="48"/>
      <c r="D33" s="49"/>
      <c r="E33" s="48"/>
      <c r="F33" s="49"/>
      <c r="G33" s="48"/>
      <c r="H33" s="49"/>
      <c r="I33" s="55"/>
      <c r="J33" s="56"/>
      <c r="K33" s="15"/>
      <c r="L33" s="20"/>
      <c r="M33" s="38"/>
      <c r="N33" s="39"/>
    </row>
  </sheetData>
  <sheetProtection/>
  <mergeCells count="123">
    <mergeCell ref="C13:D13"/>
    <mergeCell ref="E13:F13"/>
    <mergeCell ref="G13:H13"/>
    <mergeCell ref="I13:J13"/>
    <mergeCell ref="M13:N13"/>
    <mergeCell ref="B3:B4"/>
    <mergeCell ref="K2:M3"/>
    <mergeCell ref="K4:K6"/>
    <mergeCell ref="M4:N4"/>
    <mergeCell ref="M5:N5"/>
    <mergeCell ref="K10:K12"/>
    <mergeCell ref="N2:N3"/>
    <mergeCell ref="M10:N10"/>
    <mergeCell ref="B11:J12"/>
    <mergeCell ref="M11:N11"/>
    <mergeCell ref="M12:N12"/>
    <mergeCell ref="M6:N6"/>
    <mergeCell ref="M7:N7"/>
    <mergeCell ref="M8:N8"/>
    <mergeCell ref="M9:N9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M17:N17"/>
    <mergeCell ref="C18:D18"/>
    <mergeCell ref="E18:F18"/>
    <mergeCell ref="G18:H18"/>
    <mergeCell ref="I18:J18"/>
    <mergeCell ref="M18:N18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E24:F24"/>
    <mergeCell ref="G24:H24"/>
    <mergeCell ref="I24:J24"/>
    <mergeCell ref="M24:N24"/>
    <mergeCell ref="C25:D25"/>
    <mergeCell ref="E25:F25"/>
    <mergeCell ref="G25:H25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G27:H27"/>
    <mergeCell ref="I27:J27"/>
    <mergeCell ref="M27:N27"/>
    <mergeCell ref="M22:N22"/>
    <mergeCell ref="C23:D23"/>
    <mergeCell ref="E23:F23"/>
    <mergeCell ref="G23:H23"/>
    <mergeCell ref="I23:J23"/>
    <mergeCell ref="M23:N23"/>
    <mergeCell ref="C24:D24"/>
    <mergeCell ref="I29:J29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C32:D32"/>
    <mergeCell ref="E32:F32"/>
    <mergeCell ref="G32:H32"/>
    <mergeCell ref="I32:J32"/>
    <mergeCell ref="M32:N32"/>
    <mergeCell ref="M29:N29"/>
    <mergeCell ref="C30:D30"/>
    <mergeCell ref="E30:F30"/>
    <mergeCell ref="G30:H30"/>
    <mergeCell ref="I30:J30"/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</mergeCells>
  <conditionalFormatting sqref="C4:H4">
    <cfRule type="expression" priority="3" dxfId="2" stopIfTrue="1">
      <formula>DAY(C4)&gt;8</formula>
    </cfRule>
  </conditionalFormatting>
  <conditionalFormatting sqref="C8:I10">
    <cfRule type="expression" priority="2" dxfId="2" stopIfTrue="1">
      <formula>AND(DAY(C8)&gt;=1,DAY(C8)&lt;=15)</formula>
    </cfRule>
  </conditionalFormatting>
  <conditionalFormatting sqref="C4:I9">
    <cfRule type="expression" priority="4" dxfId="1">
      <formula>VLOOKUP(DAY(C4),КоличествоДней,1,FALSE)=DAY(C4)</formula>
    </cfRule>
  </conditionalFormatting>
  <conditionalFormatting sqref="B14:J33">
    <cfRule type="expression" priority="1" dxfId="0">
      <formula>B14&lt;&gt;""</formula>
    </cfRule>
  </conditionalFormatting>
  <printOptions horizontalCentered="1" verticalCentered="1"/>
  <pageMargins left="0.5" right="0.5" top="0.5" bottom="0.5" header="0.3" footer="0.3"/>
  <pageSetup fitToHeight="1" fitToWidth="1" horizontalDpi="600" verticalDpi="600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2:N33"/>
  <sheetViews>
    <sheetView showGridLines="0" zoomScalePageLayoutView="84" workbookViewId="0" topLeftCell="A1">
      <selection activeCell="N2" sqref="N2:N3"/>
    </sheetView>
  </sheetViews>
  <sheetFormatPr defaultColWidth="8.7109375" defaultRowHeight="16.5" customHeight="1"/>
  <cols>
    <col min="1" max="1" width="2.28125" style="1" customWidth="1"/>
    <col min="2" max="2" width="17.57421875" style="1" customWidth="1"/>
    <col min="3" max="10" width="9.140625" style="1" customWidth="1"/>
    <col min="11" max="11" width="7.28125" style="1" customWidth="1"/>
    <col min="12" max="12" width="3.8515625" style="0" customWidth="1"/>
    <col min="13" max="13" width="51.421875" style="1" customWidth="1"/>
    <col min="14" max="14" width="10.7109375" style="1" customWidth="1"/>
    <col min="15" max="15" width="2.28125" style="0" customWidth="1"/>
    <col min="16" max="16384" width="8.7109375" style="1" customWidth="1"/>
  </cols>
  <sheetData>
    <row r="1" ht="11.25" customHeight="1"/>
    <row r="2" spans="1:14" ht="18" customHeight="1">
      <c r="A2" s="4"/>
      <c r="B2" s="30"/>
      <c r="C2" s="21"/>
      <c r="D2" s="21"/>
      <c r="E2" s="21"/>
      <c r="F2" s="21"/>
      <c r="G2" s="21"/>
      <c r="H2" s="21"/>
      <c r="I2" s="21"/>
      <c r="J2" s="22"/>
      <c r="K2" s="70" t="s">
        <v>20</v>
      </c>
      <c r="L2" s="71">
        <v>2013</v>
      </c>
      <c r="M2" s="71"/>
      <c r="N2" s="79">
        <f>КалендарныйГод</f>
        <v>2019</v>
      </c>
    </row>
    <row r="3" spans="1:14" ht="21" customHeight="1">
      <c r="A3" s="4"/>
      <c r="B3" s="31" t="s">
        <v>11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19</v>
      </c>
      <c r="J3" s="5"/>
      <c r="K3" s="72"/>
      <c r="L3" s="73"/>
      <c r="M3" s="73"/>
      <c r="N3" s="80"/>
    </row>
    <row r="4" spans="1:14" ht="18" customHeight="1">
      <c r="A4" s="4"/>
      <c r="B4" s="31"/>
      <c r="C4" s="10">
        <f>IF(DAY(ФевВс1)=1,ФевВс1-6,ФевВс1+1)</f>
        <v>43493</v>
      </c>
      <c r="D4" s="10">
        <f>IF(DAY(ФевВс1)=1,ФевВс1-5,ФевВс1+2)</f>
        <v>43494</v>
      </c>
      <c r="E4" s="10">
        <f>IF(DAY(ФевВс1)=1,ФевВс1-4,ФевВс1+3)</f>
        <v>43495</v>
      </c>
      <c r="F4" s="10">
        <f>IF(DAY(ФевВс1)=1,ФевВс1-3,ФевВс1+4)</f>
        <v>43496</v>
      </c>
      <c r="G4" s="10">
        <f>IF(DAY(ФевВс1)=1,ФевВс1-2,ФевВс1+5)</f>
        <v>43497</v>
      </c>
      <c r="H4" s="10">
        <f>IF(DAY(ФевВс1)=1,ФевВс1-1,ФевВс1+6)</f>
        <v>43498</v>
      </c>
      <c r="I4" s="10">
        <f>IF(DAY(ФевВс1)=1,ФевВс1,ФевВс1+7)</f>
        <v>43499</v>
      </c>
      <c r="J4" s="5"/>
      <c r="K4" s="74"/>
      <c r="L4" s="16"/>
      <c r="M4" s="75"/>
      <c r="N4" s="76"/>
    </row>
    <row r="5" spans="1:14" ht="18" customHeight="1">
      <c r="A5" s="4"/>
      <c r="B5" s="28"/>
      <c r="C5" s="10">
        <f>IF(DAY(ФевВс1)=1,ФевВс1+1,ФевВс1+8)</f>
        <v>43500</v>
      </c>
      <c r="D5" s="10">
        <f>IF(DAY(ФевВс1)=1,ФевВс1+2,ФевВс1+9)</f>
        <v>43501</v>
      </c>
      <c r="E5" s="10">
        <f>IF(DAY(ФевВс1)=1,ФевВс1+3,ФевВс1+10)</f>
        <v>43502</v>
      </c>
      <c r="F5" s="10">
        <f>IF(DAY(ФевВс1)=1,ФевВс1+4,ФевВс1+11)</f>
        <v>43503</v>
      </c>
      <c r="G5" s="10">
        <f>IF(DAY(ФевВс1)=1,ФевВс1+5,ФевВс1+12)</f>
        <v>43504</v>
      </c>
      <c r="H5" s="10">
        <f>IF(DAY(ФевВс1)=1,ФевВс1+6,ФевВс1+13)</f>
        <v>43505</v>
      </c>
      <c r="I5" s="10">
        <f>IF(DAY(ФевВс1)=1,ФевВс1+7,ФевВс1+14)</f>
        <v>43506</v>
      </c>
      <c r="J5" s="5"/>
      <c r="K5" s="66"/>
      <c r="L5" s="17"/>
      <c r="M5" s="36"/>
      <c r="N5" s="37"/>
    </row>
    <row r="6" spans="1:14" ht="18" customHeight="1">
      <c r="A6" s="4"/>
      <c r="B6" s="28"/>
      <c r="C6" s="10">
        <f>IF(DAY(ФевВс1)=1,ФевВс1+8,ФевВс1+15)</f>
        <v>43507</v>
      </c>
      <c r="D6" s="10">
        <f>IF(DAY(ФевВс1)=1,ФевВс1+9,ФевВс1+16)</f>
        <v>43508</v>
      </c>
      <c r="E6" s="10">
        <f>IF(DAY(ФевВс1)=1,ФевВс1+10,ФевВс1+17)</f>
        <v>43509</v>
      </c>
      <c r="F6" s="10">
        <f>IF(DAY(ФевВс1)=1,ФевВс1+11,ФевВс1+18)</f>
        <v>43510</v>
      </c>
      <c r="G6" s="10">
        <f>IF(DAY(ФевВс1)=1,ФевВс1+12,ФевВс1+19)</f>
        <v>43511</v>
      </c>
      <c r="H6" s="10">
        <f>IF(DAY(ФевВс1)=1,ФевВс1+13,ФевВс1+20)</f>
        <v>43512</v>
      </c>
      <c r="I6" s="10">
        <f>IF(DAY(ФевВс1)=1,ФевВс1+14,ФевВс1+21)</f>
        <v>43513</v>
      </c>
      <c r="J6" s="5"/>
      <c r="K6" s="66"/>
      <c r="L6" s="17"/>
      <c r="M6" s="36"/>
      <c r="N6" s="37"/>
    </row>
    <row r="7" spans="1:14" ht="18" customHeight="1">
      <c r="A7" s="4"/>
      <c r="B7" s="28"/>
      <c r="C7" s="10">
        <f>IF(DAY(ФевВс1)=1,ФевВс1+15,ФевВс1+22)</f>
        <v>43514</v>
      </c>
      <c r="D7" s="10">
        <f>IF(DAY(ФевВс1)=1,ФевВс1+16,ФевВс1+23)</f>
        <v>43515</v>
      </c>
      <c r="E7" s="10">
        <f>IF(DAY(ФевВс1)=1,ФевВс1+17,ФевВс1+24)</f>
        <v>43516</v>
      </c>
      <c r="F7" s="10">
        <f>IF(DAY(ФевВс1)=1,ФевВс1+18,ФевВс1+25)</f>
        <v>43517</v>
      </c>
      <c r="G7" s="10">
        <f>IF(DAY(ФевВс1)=1,ФевВс1+19,ФевВс1+26)</f>
        <v>43518</v>
      </c>
      <c r="H7" s="10">
        <f>IF(DAY(ФевВс1)=1,ФевВс1+20,ФевВс1+27)</f>
        <v>43519</v>
      </c>
      <c r="I7" s="10">
        <f>IF(DAY(ФевВс1)=1,ФевВс1+21,ФевВс1+28)</f>
        <v>43520</v>
      </c>
      <c r="J7" s="5"/>
      <c r="K7" s="11"/>
      <c r="L7" s="17"/>
      <c r="M7" s="36"/>
      <c r="N7" s="37"/>
    </row>
    <row r="8" spans="1:14" ht="18.75" customHeight="1">
      <c r="A8" s="4"/>
      <c r="B8" s="28"/>
      <c r="C8" s="10">
        <f>IF(DAY(ФевВс1)=1,ФевВс1+22,ФевВс1+29)</f>
        <v>43521</v>
      </c>
      <c r="D8" s="10">
        <f>IF(DAY(ФевВс1)=1,ФевВс1+23,ФевВс1+30)</f>
        <v>43522</v>
      </c>
      <c r="E8" s="10">
        <f>IF(DAY(ФевВс1)=1,ФевВс1+24,ФевВс1+31)</f>
        <v>43523</v>
      </c>
      <c r="F8" s="10">
        <f>IF(DAY(ФевВс1)=1,ФевВс1+25,ФевВс1+32)</f>
        <v>43524</v>
      </c>
      <c r="G8" s="10">
        <f>IF(DAY(ФевВс1)=1,ФевВс1+26,ФевВс1+33)</f>
        <v>43525</v>
      </c>
      <c r="H8" s="10">
        <f>IF(DAY(ФевВс1)=1,ФевВс1+27,ФевВс1+34)</f>
        <v>43526</v>
      </c>
      <c r="I8" s="10">
        <f>IF(DAY(ФевВс1)=1,ФевВс1+28,ФевВс1+35)</f>
        <v>43527</v>
      </c>
      <c r="J8" s="5"/>
      <c r="K8" s="11"/>
      <c r="L8" s="17"/>
      <c r="M8" s="36"/>
      <c r="N8" s="37"/>
    </row>
    <row r="9" spans="1:14" ht="18" customHeight="1">
      <c r="A9" s="4"/>
      <c r="B9" s="28"/>
      <c r="C9" s="10">
        <f>IF(DAY(ФевВс1)=1,ФевВс1+29,ФевВс1+36)</f>
        <v>43528</v>
      </c>
      <c r="D9" s="10">
        <f>IF(DAY(ФевВс1)=1,ФевВс1+30,ФевВс1+37)</f>
        <v>43529</v>
      </c>
      <c r="E9" s="10">
        <f>IF(DAY(ФевВс1)=1,ФевВс1+31,ФевВс1+38)</f>
        <v>43530</v>
      </c>
      <c r="F9" s="10">
        <f>IF(DAY(ФевВс1)=1,ФевВс1+32,ФевВс1+39)</f>
        <v>43531</v>
      </c>
      <c r="G9" s="10">
        <f>IF(DAY(ФевВс1)=1,ФевВс1+33,ФевВс1+40)</f>
        <v>43532</v>
      </c>
      <c r="H9" s="10">
        <f>IF(DAY(ФевВс1)=1,ФевВс1+34,ФевВс1+41)</f>
        <v>43533</v>
      </c>
      <c r="I9" s="10">
        <f>IF(DAY(ФевВс1)=1,ФевВс1+35,ФевВс1+42)</f>
        <v>43534</v>
      </c>
      <c r="J9" s="5"/>
      <c r="K9" s="12"/>
      <c r="L9" s="18"/>
      <c r="M9" s="40"/>
      <c r="N9" s="41"/>
    </row>
    <row r="10" spans="1:14" ht="18" customHeight="1">
      <c r="A10" s="4"/>
      <c r="B10" s="29"/>
      <c r="C10" s="23"/>
      <c r="D10" s="23"/>
      <c r="E10" s="23"/>
      <c r="F10" s="23"/>
      <c r="G10" s="23"/>
      <c r="H10" s="23"/>
      <c r="I10" s="23"/>
      <c r="J10" s="24"/>
      <c r="K10" s="65"/>
      <c r="L10" s="16"/>
      <c r="M10" s="42"/>
      <c r="N10" s="43"/>
    </row>
    <row r="11" spans="1:14" ht="18" customHeight="1">
      <c r="A11" s="4"/>
      <c r="B11" s="33" t="s">
        <v>1</v>
      </c>
      <c r="C11" s="34"/>
      <c r="D11" s="34"/>
      <c r="E11" s="34"/>
      <c r="F11" s="34"/>
      <c r="G11" s="34"/>
      <c r="H11" s="34"/>
      <c r="I11" s="34"/>
      <c r="J11" s="35"/>
      <c r="K11" s="66"/>
      <c r="L11" s="17"/>
      <c r="M11" s="36"/>
      <c r="N11" s="37"/>
    </row>
    <row r="12" spans="1:14" ht="18" customHeight="1">
      <c r="A12" s="4"/>
      <c r="B12" s="33"/>
      <c r="C12" s="34"/>
      <c r="D12" s="34"/>
      <c r="E12" s="34"/>
      <c r="F12" s="34"/>
      <c r="G12" s="34"/>
      <c r="H12" s="34"/>
      <c r="I12" s="34"/>
      <c r="J12" s="35"/>
      <c r="K12" s="66"/>
      <c r="L12" s="17"/>
      <c r="M12" s="36"/>
      <c r="N12" s="37"/>
    </row>
    <row r="13" spans="2:14" ht="18" customHeight="1">
      <c r="B13" s="3" t="s">
        <v>2</v>
      </c>
      <c r="C13" s="67" t="s">
        <v>3</v>
      </c>
      <c r="D13" s="69"/>
      <c r="E13" s="67" t="s">
        <v>4</v>
      </c>
      <c r="F13" s="69"/>
      <c r="G13" s="67" t="s">
        <v>5</v>
      </c>
      <c r="H13" s="69"/>
      <c r="I13" s="67" t="s">
        <v>6</v>
      </c>
      <c r="J13" s="68"/>
      <c r="K13" s="11"/>
      <c r="L13" s="17"/>
      <c r="M13" s="36"/>
      <c r="N13" s="37"/>
    </row>
    <row r="14" spans="2:14" ht="18" customHeight="1">
      <c r="B14" s="8"/>
      <c r="C14" s="44"/>
      <c r="D14" s="45"/>
      <c r="E14" s="44"/>
      <c r="F14" s="45"/>
      <c r="G14" s="44"/>
      <c r="H14" s="45"/>
      <c r="I14" s="44"/>
      <c r="J14" s="59"/>
      <c r="K14" s="11"/>
      <c r="L14" s="17"/>
      <c r="M14" s="36"/>
      <c r="N14" s="37"/>
    </row>
    <row r="15" spans="2:14" ht="18" customHeight="1">
      <c r="B15" s="6"/>
      <c r="C15" s="46"/>
      <c r="D15" s="47"/>
      <c r="E15" s="46"/>
      <c r="F15" s="47"/>
      <c r="G15" s="46"/>
      <c r="H15" s="47"/>
      <c r="I15" s="57"/>
      <c r="J15" s="58"/>
      <c r="K15" s="13"/>
      <c r="L15" s="19"/>
      <c r="M15" s="40"/>
      <c r="N15" s="41"/>
    </row>
    <row r="16" spans="2:14" ht="18" customHeight="1">
      <c r="B16" s="8"/>
      <c r="C16" s="44"/>
      <c r="D16" s="45"/>
      <c r="E16" s="44"/>
      <c r="F16" s="45"/>
      <c r="G16" s="44"/>
      <c r="H16" s="45"/>
      <c r="I16" s="53"/>
      <c r="J16" s="54"/>
      <c r="K16" s="65"/>
      <c r="L16" s="16"/>
      <c r="M16" s="42"/>
      <c r="N16" s="43"/>
    </row>
    <row r="17" spans="2:14" ht="18" customHeight="1">
      <c r="B17" s="6"/>
      <c r="C17" s="46"/>
      <c r="D17" s="47"/>
      <c r="E17" s="46"/>
      <c r="F17" s="47"/>
      <c r="G17" s="46"/>
      <c r="H17" s="47"/>
      <c r="I17" s="57"/>
      <c r="J17" s="58"/>
      <c r="K17" s="66"/>
      <c r="L17" s="17"/>
      <c r="M17" s="36"/>
      <c r="N17" s="37"/>
    </row>
    <row r="18" spans="2:14" ht="18" customHeight="1">
      <c r="B18" s="9"/>
      <c r="C18" s="62"/>
      <c r="D18" s="63"/>
      <c r="E18" s="62"/>
      <c r="F18" s="63"/>
      <c r="G18" s="62"/>
      <c r="H18" s="63"/>
      <c r="I18" s="62"/>
      <c r="J18" s="64"/>
      <c r="K18" s="66"/>
      <c r="L18" s="17"/>
      <c r="M18" s="36"/>
      <c r="N18" s="37"/>
    </row>
    <row r="19" spans="2:14" ht="18" customHeight="1">
      <c r="B19" s="6"/>
      <c r="C19" s="46"/>
      <c r="D19" s="47"/>
      <c r="E19" s="46"/>
      <c r="F19" s="47"/>
      <c r="G19" s="46"/>
      <c r="H19" s="47"/>
      <c r="I19" s="57"/>
      <c r="J19" s="58"/>
      <c r="K19" s="11"/>
      <c r="L19" s="17"/>
      <c r="M19" s="36"/>
      <c r="N19" s="37"/>
    </row>
    <row r="20" spans="2:14" ht="18" customHeight="1">
      <c r="B20" s="8"/>
      <c r="C20" s="44"/>
      <c r="D20" s="45"/>
      <c r="E20" s="44"/>
      <c r="F20" s="45"/>
      <c r="G20" s="44"/>
      <c r="H20" s="45"/>
      <c r="I20" s="44"/>
      <c r="J20" s="59"/>
      <c r="K20" s="11"/>
      <c r="L20" s="17"/>
      <c r="M20" s="36"/>
      <c r="N20" s="37"/>
    </row>
    <row r="21" spans="2:14" ht="18" customHeight="1">
      <c r="B21" s="6"/>
      <c r="C21" s="46"/>
      <c r="D21" s="47"/>
      <c r="E21" s="46"/>
      <c r="F21" s="47"/>
      <c r="G21" s="46"/>
      <c r="H21" s="47"/>
      <c r="I21" s="60"/>
      <c r="J21" s="61"/>
      <c r="K21" s="13"/>
      <c r="L21" s="19"/>
      <c r="M21" s="40"/>
      <c r="N21" s="41"/>
    </row>
    <row r="22" spans="2:14" ht="18" customHeight="1">
      <c r="B22" s="8"/>
      <c r="C22" s="44"/>
      <c r="D22" s="45"/>
      <c r="E22" s="44"/>
      <c r="F22" s="45"/>
      <c r="G22" s="44"/>
      <c r="H22" s="45"/>
      <c r="I22" s="44"/>
      <c r="J22" s="59"/>
      <c r="K22" s="65"/>
      <c r="L22" s="16"/>
      <c r="M22" s="42"/>
      <c r="N22" s="43"/>
    </row>
    <row r="23" spans="2:14" ht="18" customHeight="1">
      <c r="B23" s="6"/>
      <c r="C23" s="46"/>
      <c r="D23" s="47"/>
      <c r="E23" s="46"/>
      <c r="F23" s="47"/>
      <c r="G23" s="46"/>
      <c r="H23" s="47"/>
      <c r="I23" s="57"/>
      <c r="J23" s="58"/>
      <c r="K23" s="66"/>
      <c r="L23" s="17"/>
      <c r="M23" s="36"/>
      <c r="N23" s="37"/>
    </row>
    <row r="24" spans="2:14" ht="18" customHeight="1">
      <c r="B24" s="8"/>
      <c r="C24" s="44"/>
      <c r="D24" s="45"/>
      <c r="E24" s="44"/>
      <c r="F24" s="45"/>
      <c r="G24" s="44"/>
      <c r="H24" s="45"/>
      <c r="I24" s="44"/>
      <c r="J24" s="59"/>
      <c r="K24" s="66"/>
      <c r="L24" s="17"/>
      <c r="M24" s="36"/>
      <c r="N24" s="37"/>
    </row>
    <row r="25" spans="2:14" ht="18" customHeight="1">
      <c r="B25" s="6"/>
      <c r="C25" s="46"/>
      <c r="D25" s="47"/>
      <c r="E25" s="46"/>
      <c r="F25" s="47"/>
      <c r="G25" s="46"/>
      <c r="H25" s="47"/>
      <c r="I25" s="57"/>
      <c r="J25" s="58"/>
      <c r="K25" s="66"/>
      <c r="L25" s="17"/>
      <c r="M25" s="36"/>
      <c r="N25" s="37"/>
    </row>
    <row r="26" spans="2:14" ht="18" customHeight="1">
      <c r="B26" s="8"/>
      <c r="C26" s="44"/>
      <c r="D26" s="45"/>
      <c r="E26" s="44"/>
      <c r="F26" s="45"/>
      <c r="G26" s="44"/>
      <c r="H26" s="45"/>
      <c r="I26" s="44"/>
      <c r="J26" s="59"/>
      <c r="K26" s="11"/>
      <c r="L26" s="17"/>
      <c r="M26" s="36"/>
      <c r="N26" s="37"/>
    </row>
    <row r="27" spans="2:14" ht="18" customHeight="1">
      <c r="B27" s="6"/>
      <c r="C27" s="46"/>
      <c r="D27" s="47"/>
      <c r="E27" s="46"/>
      <c r="F27" s="47"/>
      <c r="G27" s="46"/>
      <c r="H27" s="47"/>
      <c r="I27" s="57"/>
      <c r="J27" s="58"/>
      <c r="K27" s="13"/>
      <c r="L27" s="19"/>
      <c r="M27" s="40"/>
      <c r="N27" s="41"/>
    </row>
    <row r="28" spans="2:14" ht="18" customHeight="1">
      <c r="B28" s="8"/>
      <c r="C28" s="44"/>
      <c r="D28" s="45"/>
      <c r="E28" s="44"/>
      <c r="F28" s="45"/>
      <c r="G28" s="44"/>
      <c r="H28" s="45"/>
      <c r="I28" s="44"/>
      <c r="J28" s="59"/>
      <c r="K28" s="65"/>
      <c r="L28" s="16"/>
      <c r="M28" s="42"/>
      <c r="N28" s="43"/>
    </row>
    <row r="29" spans="2:14" ht="18" customHeight="1">
      <c r="B29" s="6"/>
      <c r="C29" s="46"/>
      <c r="D29" s="47"/>
      <c r="E29" s="46"/>
      <c r="F29" s="47"/>
      <c r="G29" s="46"/>
      <c r="H29" s="47"/>
      <c r="I29" s="46"/>
      <c r="J29" s="52"/>
      <c r="K29" s="66"/>
      <c r="L29" s="17"/>
      <c r="M29" s="36"/>
      <c r="N29" s="37"/>
    </row>
    <row r="30" spans="2:14" ht="18" customHeight="1">
      <c r="B30" s="8"/>
      <c r="C30" s="44"/>
      <c r="D30" s="45"/>
      <c r="E30" s="44"/>
      <c r="F30" s="45"/>
      <c r="G30" s="44"/>
      <c r="H30" s="45"/>
      <c r="I30" s="50"/>
      <c r="J30" s="51"/>
      <c r="K30" s="66"/>
      <c r="L30" s="17"/>
      <c r="M30" s="36"/>
      <c r="N30" s="37"/>
    </row>
    <row r="31" spans="2:14" ht="18" customHeight="1">
      <c r="B31" s="6"/>
      <c r="C31" s="46"/>
      <c r="D31" s="47"/>
      <c r="E31" s="46"/>
      <c r="F31" s="47"/>
      <c r="G31" s="46"/>
      <c r="H31" s="47"/>
      <c r="I31" s="46"/>
      <c r="J31" s="52"/>
      <c r="K31" s="14"/>
      <c r="L31" s="17"/>
      <c r="M31" s="36"/>
      <c r="N31" s="37"/>
    </row>
    <row r="32" spans="2:14" ht="18" customHeight="1">
      <c r="B32" s="8"/>
      <c r="C32" s="44"/>
      <c r="D32" s="45"/>
      <c r="E32" s="44"/>
      <c r="F32" s="45"/>
      <c r="G32" s="44"/>
      <c r="H32" s="45"/>
      <c r="I32" s="53"/>
      <c r="J32" s="54"/>
      <c r="K32" s="14"/>
      <c r="L32" s="17"/>
      <c r="M32" s="36"/>
      <c r="N32" s="37"/>
    </row>
    <row r="33" spans="2:14" ht="18" customHeight="1">
      <c r="B33" s="7"/>
      <c r="C33" s="48"/>
      <c r="D33" s="49"/>
      <c r="E33" s="48"/>
      <c r="F33" s="49"/>
      <c r="G33" s="48"/>
      <c r="H33" s="49"/>
      <c r="I33" s="55"/>
      <c r="J33" s="56"/>
      <c r="K33" s="15"/>
      <c r="L33" s="20"/>
      <c r="M33" s="38"/>
      <c r="N33" s="39"/>
    </row>
  </sheetData>
  <sheetProtection/>
  <mergeCells count="123">
    <mergeCell ref="C13:D13"/>
    <mergeCell ref="E13:F13"/>
    <mergeCell ref="G13:H13"/>
    <mergeCell ref="I13:J13"/>
    <mergeCell ref="M13:N13"/>
    <mergeCell ref="B3:B4"/>
    <mergeCell ref="K2:M3"/>
    <mergeCell ref="K4:K6"/>
    <mergeCell ref="M4:N4"/>
    <mergeCell ref="M5:N5"/>
    <mergeCell ref="K10:K12"/>
    <mergeCell ref="N2:N3"/>
    <mergeCell ref="M10:N10"/>
    <mergeCell ref="B11:J12"/>
    <mergeCell ref="M11:N11"/>
    <mergeCell ref="M12:N12"/>
    <mergeCell ref="M6:N6"/>
    <mergeCell ref="M7:N7"/>
    <mergeCell ref="M8:N8"/>
    <mergeCell ref="M9:N9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M17:N17"/>
    <mergeCell ref="C18:D18"/>
    <mergeCell ref="E18:F18"/>
    <mergeCell ref="G18:H18"/>
    <mergeCell ref="I18:J18"/>
    <mergeCell ref="M18:N18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E24:F24"/>
    <mergeCell ref="G24:H24"/>
    <mergeCell ref="I24:J24"/>
    <mergeCell ref="M24:N24"/>
    <mergeCell ref="C25:D25"/>
    <mergeCell ref="E25:F25"/>
    <mergeCell ref="G25:H25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G27:H27"/>
    <mergeCell ref="I27:J27"/>
    <mergeCell ref="M27:N27"/>
    <mergeCell ref="M22:N22"/>
    <mergeCell ref="C23:D23"/>
    <mergeCell ref="E23:F23"/>
    <mergeCell ref="G23:H23"/>
    <mergeCell ref="I23:J23"/>
    <mergeCell ref="M23:N23"/>
    <mergeCell ref="C24:D24"/>
    <mergeCell ref="I29:J29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C32:D32"/>
    <mergeCell ref="E32:F32"/>
    <mergeCell ref="G32:H32"/>
    <mergeCell ref="I32:J32"/>
    <mergeCell ref="M32:N32"/>
    <mergeCell ref="M29:N29"/>
    <mergeCell ref="C30:D30"/>
    <mergeCell ref="E30:F30"/>
    <mergeCell ref="G30:H30"/>
    <mergeCell ref="I30:J30"/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</mergeCells>
  <conditionalFormatting sqref="C4:H4">
    <cfRule type="expression" priority="3" dxfId="2" stopIfTrue="1">
      <formula>DAY(C4)&gt;8</formula>
    </cfRule>
  </conditionalFormatting>
  <conditionalFormatting sqref="C8:I10">
    <cfRule type="expression" priority="2" dxfId="2" stopIfTrue="1">
      <formula>AND(DAY(C8)&gt;=1,DAY(C8)&lt;=15)</formula>
    </cfRule>
  </conditionalFormatting>
  <conditionalFormatting sqref="C4:I9">
    <cfRule type="expression" priority="4" dxfId="1">
      <formula>VLOOKUP(DAY(C4),КоличествоДней,1,FALSE)=DAY(C4)</formula>
    </cfRule>
  </conditionalFormatting>
  <conditionalFormatting sqref="B14:J33">
    <cfRule type="expression" priority="1" dxfId="0">
      <formula>B14&lt;&gt;""</formula>
    </cfRule>
  </conditionalFormatting>
  <printOptions horizontalCentered="1" verticalCentered="1"/>
  <pageMargins left="0.5" right="0.5" top="0.5" bottom="0.5" header="0.3" footer="0.3"/>
  <pageSetup fitToHeight="1" fitToWidth="1" horizontalDpi="600" verticalDpi="600" orientation="landscape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2:N33"/>
  <sheetViews>
    <sheetView showGridLines="0" zoomScalePageLayoutView="84" workbookViewId="0" topLeftCell="A1">
      <selection activeCell="N2" sqref="N2:N3"/>
    </sheetView>
  </sheetViews>
  <sheetFormatPr defaultColWidth="8.7109375" defaultRowHeight="16.5" customHeight="1"/>
  <cols>
    <col min="1" max="1" width="2.28125" style="1" customWidth="1"/>
    <col min="2" max="2" width="17.57421875" style="1" customWidth="1"/>
    <col min="3" max="10" width="9.140625" style="1" customWidth="1"/>
    <col min="11" max="11" width="7.28125" style="1" customWidth="1"/>
    <col min="12" max="12" width="3.8515625" style="0" customWidth="1"/>
    <col min="13" max="13" width="51.421875" style="1" customWidth="1"/>
    <col min="14" max="14" width="10.7109375" style="1" customWidth="1"/>
    <col min="15" max="15" width="2.28125" style="0" customWidth="1"/>
    <col min="16" max="16384" width="8.7109375" style="1" customWidth="1"/>
  </cols>
  <sheetData>
    <row r="1" ht="11.25" customHeight="1"/>
    <row r="2" spans="1:14" ht="18" customHeight="1">
      <c r="A2" s="4"/>
      <c r="B2" s="30"/>
      <c r="C2" s="21"/>
      <c r="D2" s="21"/>
      <c r="E2" s="21"/>
      <c r="F2" s="21"/>
      <c r="G2" s="21"/>
      <c r="H2" s="21"/>
      <c r="I2" s="21"/>
      <c r="J2" s="22"/>
      <c r="K2" s="70" t="s">
        <v>20</v>
      </c>
      <c r="L2" s="71">
        <v>2013</v>
      </c>
      <c r="M2" s="71"/>
      <c r="N2" s="79">
        <f>КалендарныйГод</f>
        <v>2019</v>
      </c>
    </row>
    <row r="3" spans="1:14" ht="21" customHeight="1">
      <c r="A3" s="4"/>
      <c r="B3" s="31" t="s">
        <v>12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19</v>
      </c>
      <c r="J3" s="5"/>
      <c r="K3" s="72"/>
      <c r="L3" s="73"/>
      <c r="M3" s="73"/>
      <c r="N3" s="80"/>
    </row>
    <row r="4" spans="1:14" ht="18" customHeight="1">
      <c r="A4" s="4"/>
      <c r="B4" s="31"/>
      <c r="C4" s="10">
        <f>IF(DAY(МарВс1)=1,МарВс1-6,МарВс1+1)</f>
        <v>43521</v>
      </c>
      <c r="D4" s="10">
        <f>IF(DAY(МарВс1)=1,МарВс1-5,МарВс1+2)</f>
        <v>43522</v>
      </c>
      <c r="E4" s="10">
        <f>IF(DAY(МарВс1)=1,МарВс1-4,МарВс1+3)</f>
        <v>43523</v>
      </c>
      <c r="F4" s="10">
        <f>IF(DAY(МарВс1)=1,МарВс1-3,МарВс1+4)</f>
        <v>43524</v>
      </c>
      <c r="G4" s="10">
        <f>IF(DAY(МарВс1)=1,МарВс1-2,МарВс1+5)</f>
        <v>43525</v>
      </c>
      <c r="H4" s="10">
        <f>IF(DAY(МарВс1)=1,МарВс1-1,МарВс1+6)</f>
        <v>43526</v>
      </c>
      <c r="I4" s="10">
        <f>IF(DAY(МарВс1)=1,МарВс1,МарВс1+7)</f>
        <v>43527</v>
      </c>
      <c r="J4" s="5"/>
      <c r="K4" s="74"/>
      <c r="L4" s="16"/>
      <c r="M4" s="75"/>
      <c r="N4" s="76"/>
    </row>
    <row r="5" spans="1:14" ht="18" customHeight="1">
      <c r="A5" s="4"/>
      <c r="B5" s="28"/>
      <c r="C5" s="10">
        <f>IF(DAY(МарВс1)=1,МарВс1+1,МарВс1+8)</f>
        <v>43528</v>
      </c>
      <c r="D5" s="10">
        <f>IF(DAY(МарВс1)=1,МарВс1+2,МарВс1+9)</f>
        <v>43529</v>
      </c>
      <c r="E5" s="10">
        <f>IF(DAY(МарВс1)=1,МарВс1+3,МарВс1+10)</f>
        <v>43530</v>
      </c>
      <c r="F5" s="10">
        <f>IF(DAY(МарВс1)=1,МарВс1+4,МарВс1+11)</f>
        <v>43531</v>
      </c>
      <c r="G5" s="10">
        <f>IF(DAY(МарВс1)=1,МарВс1+5,МарВс1+12)</f>
        <v>43532</v>
      </c>
      <c r="H5" s="10">
        <f>IF(DAY(МарВс1)=1,МарВс1+6,МарВс1+13)</f>
        <v>43533</v>
      </c>
      <c r="I5" s="10">
        <f>IF(DAY(МарВс1)=1,МарВс1+7,МарВс1+14)</f>
        <v>43534</v>
      </c>
      <c r="J5" s="5"/>
      <c r="K5" s="66"/>
      <c r="L5" s="17"/>
      <c r="M5" s="36"/>
      <c r="N5" s="37"/>
    </row>
    <row r="6" spans="1:14" ht="18" customHeight="1">
      <c r="A6" s="4"/>
      <c r="B6" s="28"/>
      <c r="C6" s="10">
        <f>IF(DAY(МарВс1)=1,МарВс1+8,МарВс1+15)</f>
        <v>43535</v>
      </c>
      <c r="D6" s="10">
        <f>IF(DAY(МарВс1)=1,МарВс1+9,МарВс1+16)</f>
        <v>43536</v>
      </c>
      <c r="E6" s="10">
        <f>IF(DAY(МарВс1)=1,МарВс1+10,МарВс1+17)</f>
        <v>43537</v>
      </c>
      <c r="F6" s="10">
        <f>IF(DAY(МарВс1)=1,МарВс1+11,МарВс1+18)</f>
        <v>43538</v>
      </c>
      <c r="G6" s="10">
        <f>IF(DAY(МарВс1)=1,МарВс1+12,МарВс1+19)</f>
        <v>43539</v>
      </c>
      <c r="H6" s="10">
        <f>IF(DAY(МарВс1)=1,МарВс1+13,МарВс1+20)</f>
        <v>43540</v>
      </c>
      <c r="I6" s="10">
        <f>IF(DAY(МарВс1)=1,МарВс1+14,МарВс1+21)</f>
        <v>43541</v>
      </c>
      <c r="J6" s="5"/>
      <c r="K6" s="66"/>
      <c r="L6" s="17"/>
      <c r="M6" s="36"/>
      <c r="N6" s="37"/>
    </row>
    <row r="7" spans="1:14" ht="18" customHeight="1">
      <c r="A7" s="4"/>
      <c r="B7" s="28"/>
      <c r="C7" s="10">
        <f>IF(DAY(МарВс1)=1,МарВс1+15,МарВс1+22)</f>
        <v>43542</v>
      </c>
      <c r="D7" s="10">
        <f>IF(DAY(МарВс1)=1,МарВс1+16,МарВс1+23)</f>
        <v>43543</v>
      </c>
      <c r="E7" s="10">
        <f>IF(DAY(МарВс1)=1,МарВс1+17,МарВс1+24)</f>
        <v>43544</v>
      </c>
      <c r="F7" s="10">
        <f>IF(DAY(МарВс1)=1,МарВс1+18,МарВс1+25)</f>
        <v>43545</v>
      </c>
      <c r="G7" s="10">
        <f>IF(DAY(МарВс1)=1,МарВс1+19,МарВс1+26)</f>
        <v>43546</v>
      </c>
      <c r="H7" s="10">
        <f>IF(DAY(МарВс1)=1,МарВс1+20,МарВс1+27)</f>
        <v>43547</v>
      </c>
      <c r="I7" s="10">
        <f>IF(DAY(МарВс1)=1,МарВс1+21,МарВс1+28)</f>
        <v>43548</v>
      </c>
      <c r="J7" s="5"/>
      <c r="K7" s="11"/>
      <c r="L7" s="17"/>
      <c r="M7" s="36"/>
      <c r="N7" s="37"/>
    </row>
    <row r="8" spans="1:14" ht="18.75" customHeight="1">
      <c r="A8" s="4"/>
      <c r="B8" s="28"/>
      <c r="C8" s="10">
        <f>IF(DAY(МарВс1)=1,МарВс1+22,МарВс1+29)</f>
        <v>43549</v>
      </c>
      <c r="D8" s="10">
        <f>IF(DAY(МарВс1)=1,МарВс1+23,МарВс1+30)</f>
        <v>43550</v>
      </c>
      <c r="E8" s="10">
        <f>IF(DAY(МарВс1)=1,МарВс1+24,МарВс1+31)</f>
        <v>43551</v>
      </c>
      <c r="F8" s="10">
        <f>IF(DAY(МарВс1)=1,МарВс1+25,МарВс1+32)</f>
        <v>43552</v>
      </c>
      <c r="G8" s="10">
        <f>IF(DAY(МарВс1)=1,МарВс1+26,МарВс1+33)</f>
        <v>43553</v>
      </c>
      <c r="H8" s="10">
        <f>IF(DAY(МарВс1)=1,МарВс1+27,МарВс1+34)</f>
        <v>43554</v>
      </c>
      <c r="I8" s="10">
        <f>IF(DAY(МарВс1)=1,МарВс1+28,МарВс1+35)</f>
        <v>43555</v>
      </c>
      <c r="J8" s="5"/>
      <c r="K8" s="11"/>
      <c r="L8" s="17"/>
      <c r="M8" s="36"/>
      <c r="N8" s="37"/>
    </row>
    <row r="9" spans="1:14" ht="18" customHeight="1">
      <c r="A9" s="4"/>
      <c r="B9" s="28"/>
      <c r="C9" s="10">
        <f>IF(DAY(МарВс1)=1,МарВс1+29,МарВс1+36)</f>
        <v>43556</v>
      </c>
      <c r="D9" s="10">
        <f>IF(DAY(МарВс1)=1,МарВс1+30,МарВс1+37)</f>
        <v>43557</v>
      </c>
      <c r="E9" s="10">
        <f>IF(DAY(МарВс1)=1,МарВс1+31,МарВс1+38)</f>
        <v>43558</v>
      </c>
      <c r="F9" s="10">
        <f>IF(DAY(МарВс1)=1,МарВс1+32,МарВс1+39)</f>
        <v>43559</v>
      </c>
      <c r="G9" s="10">
        <f>IF(DAY(МарВс1)=1,МарВс1+33,МарВс1+40)</f>
        <v>43560</v>
      </c>
      <c r="H9" s="10">
        <f>IF(DAY(МарВс1)=1,МарВс1+34,МарВс1+41)</f>
        <v>43561</v>
      </c>
      <c r="I9" s="10">
        <f>IF(DAY(МарВс1)=1,МарВс1+35,МарВс1+42)</f>
        <v>43562</v>
      </c>
      <c r="J9" s="5"/>
      <c r="K9" s="12"/>
      <c r="L9" s="18"/>
      <c r="M9" s="40"/>
      <c r="N9" s="41"/>
    </row>
    <row r="10" spans="1:14" ht="18" customHeight="1">
      <c r="A10" s="4"/>
      <c r="B10" s="29"/>
      <c r="C10" s="23"/>
      <c r="D10" s="23"/>
      <c r="E10" s="23"/>
      <c r="F10" s="23"/>
      <c r="G10" s="23"/>
      <c r="H10" s="23"/>
      <c r="I10" s="23"/>
      <c r="J10" s="24"/>
      <c r="K10" s="65"/>
      <c r="L10" s="16"/>
      <c r="M10" s="42"/>
      <c r="N10" s="43"/>
    </row>
    <row r="11" spans="1:14" ht="18" customHeight="1">
      <c r="A11" s="4"/>
      <c r="B11" s="33" t="s">
        <v>1</v>
      </c>
      <c r="C11" s="34"/>
      <c r="D11" s="34"/>
      <c r="E11" s="34"/>
      <c r="F11" s="34"/>
      <c r="G11" s="34"/>
      <c r="H11" s="34"/>
      <c r="I11" s="34"/>
      <c r="J11" s="35"/>
      <c r="K11" s="66"/>
      <c r="L11" s="17"/>
      <c r="M11" s="36"/>
      <c r="N11" s="37"/>
    </row>
    <row r="12" spans="1:14" ht="18" customHeight="1">
      <c r="A12" s="4"/>
      <c r="B12" s="33"/>
      <c r="C12" s="34"/>
      <c r="D12" s="34"/>
      <c r="E12" s="34"/>
      <c r="F12" s="34"/>
      <c r="G12" s="34"/>
      <c r="H12" s="34"/>
      <c r="I12" s="34"/>
      <c r="J12" s="35"/>
      <c r="K12" s="66"/>
      <c r="L12" s="17"/>
      <c r="M12" s="36"/>
      <c r="N12" s="37"/>
    </row>
    <row r="13" spans="2:14" ht="18" customHeight="1">
      <c r="B13" s="3" t="s">
        <v>2</v>
      </c>
      <c r="C13" s="67" t="s">
        <v>3</v>
      </c>
      <c r="D13" s="69"/>
      <c r="E13" s="67" t="s">
        <v>4</v>
      </c>
      <c r="F13" s="69"/>
      <c r="G13" s="67" t="s">
        <v>5</v>
      </c>
      <c r="H13" s="69"/>
      <c r="I13" s="67" t="s">
        <v>6</v>
      </c>
      <c r="J13" s="68"/>
      <c r="K13" s="11"/>
      <c r="L13" s="17"/>
      <c r="M13" s="36"/>
      <c r="N13" s="37"/>
    </row>
    <row r="14" spans="2:14" ht="18" customHeight="1">
      <c r="B14" s="8"/>
      <c r="C14" s="44"/>
      <c r="D14" s="45"/>
      <c r="E14" s="44"/>
      <c r="F14" s="45"/>
      <c r="G14" s="44"/>
      <c r="H14" s="45"/>
      <c r="I14" s="44"/>
      <c r="J14" s="59"/>
      <c r="K14" s="11"/>
      <c r="L14" s="17"/>
      <c r="M14" s="36"/>
      <c r="N14" s="37"/>
    </row>
    <row r="15" spans="2:14" ht="18" customHeight="1">
      <c r="B15" s="6"/>
      <c r="C15" s="46"/>
      <c r="D15" s="47"/>
      <c r="E15" s="46"/>
      <c r="F15" s="47"/>
      <c r="G15" s="46"/>
      <c r="H15" s="47"/>
      <c r="I15" s="57"/>
      <c r="J15" s="58"/>
      <c r="K15" s="13"/>
      <c r="L15" s="19"/>
      <c r="M15" s="40"/>
      <c r="N15" s="41"/>
    </row>
    <row r="16" spans="2:14" ht="18" customHeight="1">
      <c r="B16" s="8"/>
      <c r="C16" s="44"/>
      <c r="D16" s="45"/>
      <c r="E16" s="44"/>
      <c r="F16" s="45"/>
      <c r="G16" s="44"/>
      <c r="H16" s="45"/>
      <c r="I16" s="53"/>
      <c r="J16" s="54"/>
      <c r="K16" s="65"/>
      <c r="L16" s="16"/>
      <c r="M16" s="42"/>
      <c r="N16" s="43"/>
    </row>
    <row r="17" spans="2:14" ht="18" customHeight="1">
      <c r="B17" s="6"/>
      <c r="C17" s="46"/>
      <c r="D17" s="47"/>
      <c r="E17" s="46"/>
      <c r="F17" s="47"/>
      <c r="G17" s="46"/>
      <c r="H17" s="47"/>
      <c r="I17" s="57"/>
      <c r="J17" s="58"/>
      <c r="K17" s="66"/>
      <c r="L17" s="17"/>
      <c r="M17" s="36"/>
      <c r="N17" s="37"/>
    </row>
    <row r="18" spans="2:14" ht="18" customHeight="1">
      <c r="B18" s="9"/>
      <c r="C18" s="62"/>
      <c r="D18" s="63"/>
      <c r="E18" s="62"/>
      <c r="F18" s="63"/>
      <c r="G18" s="62"/>
      <c r="H18" s="63"/>
      <c r="I18" s="62"/>
      <c r="J18" s="64"/>
      <c r="K18" s="66"/>
      <c r="L18" s="17"/>
      <c r="M18" s="36"/>
      <c r="N18" s="37"/>
    </row>
    <row r="19" spans="2:14" ht="18" customHeight="1">
      <c r="B19" s="6"/>
      <c r="C19" s="46"/>
      <c r="D19" s="47"/>
      <c r="E19" s="46"/>
      <c r="F19" s="47"/>
      <c r="G19" s="46"/>
      <c r="H19" s="47"/>
      <c r="I19" s="57"/>
      <c r="J19" s="58"/>
      <c r="K19" s="11"/>
      <c r="L19" s="17"/>
      <c r="M19" s="36"/>
      <c r="N19" s="37"/>
    </row>
    <row r="20" spans="2:14" ht="18" customHeight="1">
      <c r="B20" s="8"/>
      <c r="C20" s="44"/>
      <c r="D20" s="45"/>
      <c r="E20" s="44"/>
      <c r="F20" s="45"/>
      <c r="G20" s="44"/>
      <c r="H20" s="45"/>
      <c r="I20" s="44"/>
      <c r="J20" s="59"/>
      <c r="K20" s="11"/>
      <c r="L20" s="17"/>
      <c r="M20" s="36"/>
      <c r="N20" s="37"/>
    </row>
    <row r="21" spans="2:14" ht="18" customHeight="1">
      <c r="B21" s="6"/>
      <c r="C21" s="46"/>
      <c r="D21" s="47"/>
      <c r="E21" s="46"/>
      <c r="F21" s="47"/>
      <c r="G21" s="46"/>
      <c r="H21" s="47"/>
      <c r="I21" s="60"/>
      <c r="J21" s="61"/>
      <c r="K21" s="13"/>
      <c r="L21" s="19"/>
      <c r="M21" s="40"/>
      <c r="N21" s="41"/>
    </row>
    <row r="22" spans="2:14" ht="18" customHeight="1">
      <c r="B22" s="8"/>
      <c r="C22" s="44"/>
      <c r="D22" s="45"/>
      <c r="E22" s="44"/>
      <c r="F22" s="45"/>
      <c r="G22" s="44"/>
      <c r="H22" s="45"/>
      <c r="I22" s="44"/>
      <c r="J22" s="59"/>
      <c r="K22" s="65"/>
      <c r="L22" s="16"/>
      <c r="M22" s="42"/>
      <c r="N22" s="43"/>
    </row>
    <row r="23" spans="2:14" ht="18" customHeight="1">
      <c r="B23" s="6"/>
      <c r="C23" s="46"/>
      <c r="D23" s="47"/>
      <c r="E23" s="46"/>
      <c r="F23" s="47"/>
      <c r="G23" s="46"/>
      <c r="H23" s="47"/>
      <c r="I23" s="57"/>
      <c r="J23" s="58"/>
      <c r="K23" s="66"/>
      <c r="L23" s="17"/>
      <c r="M23" s="36"/>
      <c r="N23" s="37"/>
    </row>
    <row r="24" spans="2:14" ht="18" customHeight="1">
      <c r="B24" s="8"/>
      <c r="C24" s="44"/>
      <c r="D24" s="45"/>
      <c r="E24" s="44"/>
      <c r="F24" s="45"/>
      <c r="G24" s="44"/>
      <c r="H24" s="45"/>
      <c r="I24" s="44"/>
      <c r="J24" s="59"/>
      <c r="K24" s="66"/>
      <c r="L24" s="17"/>
      <c r="M24" s="36"/>
      <c r="N24" s="37"/>
    </row>
    <row r="25" spans="2:14" ht="18" customHeight="1">
      <c r="B25" s="6"/>
      <c r="C25" s="46"/>
      <c r="D25" s="47"/>
      <c r="E25" s="46"/>
      <c r="F25" s="47"/>
      <c r="G25" s="46"/>
      <c r="H25" s="47"/>
      <c r="I25" s="57"/>
      <c r="J25" s="58"/>
      <c r="K25" s="66"/>
      <c r="L25" s="17"/>
      <c r="M25" s="36"/>
      <c r="N25" s="37"/>
    </row>
    <row r="26" spans="2:14" ht="18" customHeight="1">
      <c r="B26" s="8"/>
      <c r="C26" s="44"/>
      <c r="D26" s="45"/>
      <c r="E26" s="44"/>
      <c r="F26" s="45"/>
      <c r="G26" s="44"/>
      <c r="H26" s="45"/>
      <c r="I26" s="44"/>
      <c r="J26" s="59"/>
      <c r="K26" s="11"/>
      <c r="L26" s="17"/>
      <c r="M26" s="36"/>
      <c r="N26" s="37"/>
    </row>
    <row r="27" spans="2:14" ht="18" customHeight="1">
      <c r="B27" s="6"/>
      <c r="C27" s="46"/>
      <c r="D27" s="47"/>
      <c r="E27" s="46"/>
      <c r="F27" s="47"/>
      <c r="G27" s="46"/>
      <c r="H27" s="47"/>
      <c r="I27" s="57"/>
      <c r="J27" s="58"/>
      <c r="K27" s="13"/>
      <c r="L27" s="19"/>
      <c r="M27" s="40"/>
      <c r="N27" s="41"/>
    </row>
    <row r="28" spans="2:14" ht="18" customHeight="1">
      <c r="B28" s="8"/>
      <c r="C28" s="44"/>
      <c r="D28" s="45"/>
      <c r="E28" s="44"/>
      <c r="F28" s="45"/>
      <c r="G28" s="44"/>
      <c r="H28" s="45"/>
      <c r="I28" s="44"/>
      <c r="J28" s="59"/>
      <c r="K28" s="65"/>
      <c r="L28" s="16"/>
      <c r="M28" s="42"/>
      <c r="N28" s="43"/>
    </row>
    <row r="29" spans="2:14" ht="18" customHeight="1">
      <c r="B29" s="6"/>
      <c r="C29" s="46"/>
      <c r="D29" s="47"/>
      <c r="E29" s="46"/>
      <c r="F29" s="47"/>
      <c r="G29" s="46"/>
      <c r="H29" s="47"/>
      <c r="I29" s="46"/>
      <c r="J29" s="52"/>
      <c r="K29" s="66"/>
      <c r="L29" s="17"/>
      <c r="M29" s="36"/>
      <c r="N29" s="37"/>
    </row>
    <row r="30" spans="2:14" ht="18" customHeight="1">
      <c r="B30" s="8"/>
      <c r="C30" s="44"/>
      <c r="D30" s="45"/>
      <c r="E30" s="44"/>
      <c r="F30" s="45"/>
      <c r="G30" s="44"/>
      <c r="H30" s="45"/>
      <c r="I30" s="50"/>
      <c r="J30" s="51"/>
      <c r="K30" s="66"/>
      <c r="L30" s="17"/>
      <c r="M30" s="36"/>
      <c r="N30" s="37"/>
    </row>
    <row r="31" spans="2:14" ht="18" customHeight="1">
      <c r="B31" s="6"/>
      <c r="C31" s="46"/>
      <c r="D31" s="47"/>
      <c r="E31" s="46"/>
      <c r="F31" s="47"/>
      <c r="G31" s="46"/>
      <c r="H31" s="47"/>
      <c r="I31" s="46"/>
      <c r="J31" s="52"/>
      <c r="K31" s="14"/>
      <c r="L31" s="17"/>
      <c r="M31" s="36"/>
      <c r="N31" s="37"/>
    </row>
    <row r="32" spans="2:14" ht="18" customHeight="1">
      <c r="B32" s="8"/>
      <c r="C32" s="44"/>
      <c r="D32" s="45"/>
      <c r="E32" s="44"/>
      <c r="F32" s="45"/>
      <c r="G32" s="44"/>
      <c r="H32" s="45"/>
      <c r="I32" s="53"/>
      <c r="J32" s="54"/>
      <c r="K32" s="14"/>
      <c r="L32" s="17"/>
      <c r="M32" s="36"/>
      <c r="N32" s="37"/>
    </row>
    <row r="33" spans="2:14" ht="18" customHeight="1">
      <c r="B33" s="7"/>
      <c r="C33" s="48"/>
      <c r="D33" s="49"/>
      <c r="E33" s="48"/>
      <c r="F33" s="49"/>
      <c r="G33" s="48"/>
      <c r="H33" s="49"/>
      <c r="I33" s="55"/>
      <c r="J33" s="56"/>
      <c r="K33" s="15"/>
      <c r="L33" s="20"/>
      <c r="M33" s="38"/>
      <c r="N33" s="39"/>
    </row>
  </sheetData>
  <sheetProtection/>
  <mergeCells count="123">
    <mergeCell ref="C13:D13"/>
    <mergeCell ref="E13:F13"/>
    <mergeCell ref="G13:H13"/>
    <mergeCell ref="I13:J13"/>
    <mergeCell ref="M13:N13"/>
    <mergeCell ref="B3:B4"/>
    <mergeCell ref="K2:M3"/>
    <mergeCell ref="K4:K6"/>
    <mergeCell ref="M4:N4"/>
    <mergeCell ref="M5:N5"/>
    <mergeCell ref="K10:K12"/>
    <mergeCell ref="N2:N3"/>
    <mergeCell ref="M10:N10"/>
    <mergeCell ref="B11:J12"/>
    <mergeCell ref="M11:N11"/>
    <mergeCell ref="M12:N12"/>
    <mergeCell ref="M6:N6"/>
    <mergeCell ref="M7:N7"/>
    <mergeCell ref="M8:N8"/>
    <mergeCell ref="M9:N9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M17:N17"/>
    <mergeCell ref="C18:D18"/>
    <mergeCell ref="E18:F18"/>
    <mergeCell ref="G18:H18"/>
    <mergeCell ref="I18:J18"/>
    <mergeCell ref="M18:N18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E24:F24"/>
    <mergeCell ref="G24:H24"/>
    <mergeCell ref="I24:J24"/>
    <mergeCell ref="M24:N24"/>
    <mergeCell ref="C25:D25"/>
    <mergeCell ref="E25:F25"/>
    <mergeCell ref="G25:H25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G27:H27"/>
    <mergeCell ref="I27:J27"/>
    <mergeCell ref="M27:N27"/>
    <mergeCell ref="M22:N22"/>
    <mergeCell ref="C23:D23"/>
    <mergeCell ref="E23:F23"/>
    <mergeCell ref="G23:H23"/>
    <mergeCell ref="I23:J23"/>
    <mergeCell ref="M23:N23"/>
    <mergeCell ref="C24:D24"/>
    <mergeCell ref="I29:J29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C32:D32"/>
    <mergeCell ref="E32:F32"/>
    <mergeCell ref="G32:H32"/>
    <mergeCell ref="I32:J32"/>
    <mergeCell ref="M32:N32"/>
    <mergeCell ref="M29:N29"/>
    <mergeCell ref="C30:D30"/>
    <mergeCell ref="E30:F30"/>
    <mergeCell ref="G30:H30"/>
    <mergeCell ref="I30:J30"/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</mergeCells>
  <conditionalFormatting sqref="C4:H4">
    <cfRule type="expression" priority="3" dxfId="2" stopIfTrue="1">
      <formula>DAY(C4)&gt;8</formula>
    </cfRule>
  </conditionalFormatting>
  <conditionalFormatting sqref="C8:I10">
    <cfRule type="expression" priority="2" dxfId="2" stopIfTrue="1">
      <formula>AND(DAY(C8)&gt;=1,DAY(C8)&lt;=15)</formula>
    </cfRule>
  </conditionalFormatting>
  <conditionalFormatting sqref="C4:I9">
    <cfRule type="expression" priority="4" dxfId="1">
      <formula>VLOOKUP(DAY(C4),КоличествоДней,1,FALSE)=DAY(C4)</formula>
    </cfRule>
  </conditionalFormatting>
  <conditionalFormatting sqref="B14:J33">
    <cfRule type="expression" priority="1" dxfId="0">
      <formula>B14&lt;&gt;""</formula>
    </cfRule>
  </conditionalFormatting>
  <printOptions horizontalCentered="1" verticalCentered="1"/>
  <pageMargins left="0.5" right="0.5" top="0.5" bottom="0.5" header="0.3" footer="0.3"/>
  <pageSetup fitToHeight="1" fitToWidth="1" horizontalDpi="600" verticalDpi="600" orientation="landscape" paperSize="9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2:N33"/>
  <sheetViews>
    <sheetView showGridLines="0" zoomScalePageLayoutView="84" workbookViewId="0" topLeftCell="A1">
      <selection activeCell="N2" sqref="N2:N3"/>
    </sheetView>
  </sheetViews>
  <sheetFormatPr defaultColWidth="8.7109375" defaultRowHeight="16.5" customHeight="1"/>
  <cols>
    <col min="1" max="1" width="2.28125" style="1" customWidth="1"/>
    <col min="2" max="2" width="17.57421875" style="1" customWidth="1"/>
    <col min="3" max="10" width="9.140625" style="1" customWidth="1"/>
    <col min="11" max="11" width="7.28125" style="1" customWidth="1"/>
    <col min="12" max="12" width="3.8515625" style="0" customWidth="1"/>
    <col min="13" max="13" width="51.421875" style="1" customWidth="1"/>
    <col min="14" max="14" width="10.7109375" style="1" customWidth="1"/>
    <col min="15" max="15" width="2.28125" style="0" customWidth="1"/>
    <col min="16" max="16384" width="8.7109375" style="1" customWidth="1"/>
  </cols>
  <sheetData>
    <row r="1" ht="11.25" customHeight="1"/>
    <row r="2" spans="1:14" ht="18" customHeight="1">
      <c r="A2" s="4"/>
      <c r="B2" s="30"/>
      <c r="C2" s="21"/>
      <c r="D2" s="21"/>
      <c r="E2" s="21"/>
      <c r="F2" s="21"/>
      <c r="G2" s="21"/>
      <c r="H2" s="21"/>
      <c r="I2" s="21"/>
      <c r="J2" s="22"/>
      <c r="K2" s="70" t="s">
        <v>20</v>
      </c>
      <c r="L2" s="71">
        <v>2013</v>
      </c>
      <c r="M2" s="71"/>
      <c r="N2" s="79">
        <f>КалендарныйГод</f>
        <v>2019</v>
      </c>
    </row>
    <row r="3" spans="1:14" ht="21" customHeight="1">
      <c r="A3" s="4"/>
      <c r="B3" s="31" t="s">
        <v>13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19</v>
      </c>
      <c r="J3" s="5"/>
      <c r="K3" s="72"/>
      <c r="L3" s="73"/>
      <c r="M3" s="73"/>
      <c r="N3" s="80"/>
    </row>
    <row r="4" spans="1:14" ht="18" customHeight="1">
      <c r="A4" s="4"/>
      <c r="B4" s="31"/>
      <c r="C4" s="10">
        <f>IF(DAY(АпрВс1)=1,АпрВс1-6,АпрВс1+1)</f>
        <v>43556</v>
      </c>
      <c r="D4" s="10">
        <f>IF(DAY(АпрВс1)=1,АпрВс1-5,АпрВс1+2)</f>
        <v>43557</v>
      </c>
      <c r="E4" s="10">
        <f>IF(DAY(АпрВс1)=1,АпрВс1-4,АпрВс1+3)</f>
        <v>43558</v>
      </c>
      <c r="F4" s="10">
        <f>IF(DAY(АпрВс1)=1,АпрВс1-3,АпрВс1+4)</f>
        <v>43559</v>
      </c>
      <c r="G4" s="10">
        <f>IF(DAY(АпрВс1)=1,АпрВс1-2,АпрВс1+5)</f>
        <v>43560</v>
      </c>
      <c r="H4" s="10">
        <f>IF(DAY(АпрВс1)=1,АпрВс1-1,АпрВс1+6)</f>
        <v>43561</v>
      </c>
      <c r="I4" s="10">
        <f>IF(DAY(АпрВс1)=1,АпрВс1,АпрВс1+7)</f>
        <v>43562</v>
      </c>
      <c r="J4" s="5"/>
      <c r="K4" s="74"/>
      <c r="L4" s="16"/>
      <c r="M4" s="75"/>
      <c r="N4" s="76"/>
    </row>
    <row r="5" spans="1:14" ht="18" customHeight="1">
      <c r="A5" s="4"/>
      <c r="B5" s="28"/>
      <c r="C5" s="10">
        <f>IF(DAY(АпрВс1)=1,АпрВс1+1,АпрВс1+8)</f>
        <v>43563</v>
      </c>
      <c r="D5" s="10">
        <f>IF(DAY(АпрВс1)=1,АпрВс1+2,АпрВс1+9)</f>
        <v>43564</v>
      </c>
      <c r="E5" s="10">
        <f>IF(DAY(АпрВс1)=1,АпрВс1+3,АпрВс1+10)</f>
        <v>43565</v>
      </c>
      <c r="F5" s="10">
        <f>IF(DAY(АпрВс1)=1,АпрВс1+4,АпрВс1+11)</f>
        <v>43566</v>
      </c>
      <c r="G5" s="10">
        <f>IF(DAY(АпрВс1)=1,АпрВс1+5,АпрВс1+12)</f>
        <v>43567</v>
      </c>
      <c r="H5" s="10">
        <f>IF(DAY(АпрВс1)=1,АпрВс1+6,АпрВс1+13)</f>
        <v>43568</v>
      </c>
      <c r="I5" s="10">
        <f>IF(DAY(АпрВс1)=1,АпрВс1+7,АпрВс1+14)</f>
        <v>43569</v>
      </c>
      <c r="J5" s="5"/>
      <c r="K5" s="66"/>
      <c r="L5" s="17"/>
      <c r="M5" s="36"/>
      <c r="N5" s="37"/>
    </row>
    <row r="6" spans="1:14" ht="18" customHeight="1">
      <c r="A6" s="4"/>
      <c r="B6" s="28"/>
      <c r="C6" s="10">
        <f>IF(DAY(АпрВс1)=1,АпрВс1+8,АпрВс1+15)</f>
        <v>43570</v>
      </c>
      <c r="D6" s="10">
        <f>IF(DAY(АпрВс1)=1,АпрВс1+9,АпрВс1+16)</f>
        <v>43571</v>
      </c>
      <c r="E6" s="10">
        <f>IF(DAY(АпрВс1)=1,АпрВс1+10,АпрВс1+17)</f>
        <v>43572</v>
      </c>
      <c r="F6" s="10">
        <f>IF(DAY(АпрВс1)=1,АпрВс1+11,АпрВс1+18)</f>
        <v>43573</v>
      </c>
      <c r="G6" s="10">
        <f>IF(DAY(АпрВс1)=1,АпрВс1+12,АпрВс1+19)</f>
        <v>43574</v>
      </c>
      <c r="H6" s="10">
        <f>IF(DAY(АпрВс1)=1,АпрВс1+13,АпрВс1+20)</f>
        <v>43575</v>
      </c>
      <c r="I6" s="10">
        <f>IF(DAY(АпрВс1)=1,АпрВс1+14,АпрВс1+21)</f>
        <v>43576</v>
      </c>
      <c r="J6" s="5"/>
      <c r="K6" s="66"/>
      <c r="L6" s="17"/>
      <c r="M6" s="36"/>
      <c r="N6" s="37"/>
    </row>
    <row r="7" spans="1:14" ht="18" customHeight="1">
      <c r="A7" s="4"/>
      <c r="B7" s="28"/>
      <c r="C7" s="10">
        <f>IF(DAY(АпрВс1)=1,АпрВс1+15,АпрВс1+22)</f>
        <v>43577</v>
      </c>
      <c r="D7" s="10">
        <f>IF(DAY(АпрВс1)=1,АпрВс1+16,АпрВс1+23)</f>
        <v>43578</v>
      </c>
      <c r="E7" s="10">
        <f>IF(DAY(АпрВс1)=1,АпрВс1+17,АпрВс1+24)</f>
        <v>43579</v>
      </c>
      <c r="F7" s="10">
        <f>IF(DAY(АпрВс1)=1,АпрВс1+18,АпрВс1+25)</f>
        <v>43580</v>
      </c>
      <c r="G7" s="10">
        <f>IF(DAY(АпрВс1)=1,АпрВс1+19,АпрВс1+26)</f>
        <v>43581</v>
      </c>
      <c r="H7" s="10">
        <f>IF(DAY(АпрВс1)=1,АпрВс1+20,АпрВс1+27)</f>
        <v>43582</v>
      </c>
      <c r="I7" s="10">
        <f>IF(DAY(АпрВс1)=1,АпрВс1+21,АпрВс1+28)</f>
        <v>43583</v>
      </c>
      <c r="J7" s="5"/>
      <c r="K7" s="11"/>
      <c r="L7" s="17"/>
      <c r="M7" s="36"/>
      <c r="N7" s="37"/>
    </row>
    <row r="8" spans="1:14" ht="18.75" customHeight="1">
      <c r="A8" s="4"/>
      <c r="B8" s="28"/>
      <c r="C8" s="10">
        <f>IF(DAY(АпрВс1)=1,АпрВс1+22,АпрВс1+29)</f>
        <v>43584</v>
      </c>
      <c r="D8" s="10">
        <f>IF(DAY(АпрВс1)=1,АпрВс1+23,АпрВс1+30)</f>
        <v>43585</v>
      </c>
      <c r="E8" s="10">
        <f>IF(DAY(АпрВс1)=1,АпрВс1+24,АпрВс1+31)</f>
        <v>43586</v>
      </c>
      <c r="F8" s="10">
        <f>IF(DAY(АпрВс1)=1,АпрВс1+25,АпрВс1+32)</f>
        <v>43587</v>
      </c>
      <c r="G8" s="10">
        <f>IF(DAY(АпрВс1)=1,АпрВс1+26,АпрВс1+33)</f>
        <v>43588</v>
      </c>
      <c r="H8" s="10">
        <f>IF(DAY(АпрВс1)=1,АпрВс1+27,АпрВс1+34)</f>
        <v>43589</v>
      </c>
      <c r="I8" s="10">
        <f>IF(DAY(АпрВс1)=1,АпрВс1+28,АпрВс1+35)</f>
        <v>43590</v>
      </c>
      <c r="J8" s="5"/>
      <c r="K8" s="11"/>
      <c r="L8" s="17"/>
      <c r="M8" s="36"/>
      <c r="N8" s="37"/>
    </row>
    <row r="9" spans="1:14" ht="18" customHeight="1">
      <c r="A9" s="4"/>
      <c r="B9" s="28"/>
      <c r="C9" s="10">
        <f>IF(DAY(АпрВс1)=1,АпрВс1+29,АпрВс1+36)</f>
        <v>43591</v>
      </c>
      <c r="D9" s="10">
        <f>IF(DAY(АпрВс1)=1,АпрВс1+30,АпрВс1+37)</f>
        <v>43592</v>
      </c>
      <c r="E9" s="10">
        <f>IF(DAY(АпрВс1)=1,АпрВс1+31,АпрВс1+38)</f>
        <v>43593</v>
      </c>
      <c r="F9" s="10">
        <f>IF(DAY(АпрВс1)=1,АпрВс1+32,АпрВс1+39)</f>
        <v>43594</v>
      </c>
      <c r="G9" s="10">
        <f>IF(DAY(АпрВс1)=1,АпрВс1+33,АпрВс1+40)</f>
        <v>43595</v>
      </c>
      <c r="H9" s="10">
        <f>IF(DAY(АпрВс1)=1,АпрВс1+34,АпрВс1+41)</f>
        <v>43596</v>
      </c>
      <c r="I9" s="10">
        <f>IF(DAY(АпрВс1)=1,АпрВс1+35,АпрВс1+42)</f>
        <v>43597</v>
      </c>
      <c r="J9" s="5"/>
      <c r="K9" s="12"/>
      <c r="L9" s="18"/>
      <c r="M9" s="40"/>
      <c r="N9" s="41"/>
    </row>
    <row r="10" spans="1:14" ht="18" customHeight="1">
      <c r="A10" s="4"/>
      <c r="B10" s="29"/>
      <c r="C10" s="23"/>
      <c r="D10" s="23"/>
      <c r="E10" s="23"/>
      <c r="F10" s="23"/>
      <c r="G10" s="23"/>
      <c r="H10" s="23"/>
      <c r="I10" s="23"/>
      <c r="J10" s="24"/>
      <c r="K10" s="65"/>
      <c r="L10" s="16"/>
      <c r="M10" s="42"/>
      <c r="N10" s="43"/>
    </row>
    <row r="11" spans="1:14" ht="18" customHeight="1">
      <c r="A11" s="4"/>
      <c r="B11" s="33" t="s">
        <v>1</v>
      </c>
      <c r="C11" s="34"/>
      <c r="D11" s="34"/>
      <c r="E11" s="34"/>
      <c r="F11" s="34"/>
      <c r="G11" s="34"/>
      <c r="H11" s="34"/>
      <c r="I11" s="34"/>
      <c r="J11" s="35"/>
      <c r="K11" s="66"/>
      <c r="L11" s="17"/>
      <c r="M11" s="36"/>
      <c r="N11" s="37"/>
    </row>
    <row r="12" spans="1:14" ht="18" customHeight="1">
      <c r="A12" s="4"/>
      <c r="B12" s="33"/>
      <c r="C12" s="34"/>
      <c r="D12" s="34"/>
      <c r="E12" s="34"/>
      <c r="F12" s="34"/>
      <c r="G12" s="34"/>
      <c r="H12" s="34"/>
      <c r="I12" s="34"/>
      <c r="J12" s="35"/>
      <c r="K12" s="66"/>
      <c r="L12" s="17"/>
      <c r="M12" s="36"/>
      <c r="N12" s="37"/>
    </row>
    <row r="13" spans="2:14" ht="18" customHeight="1">
      <c r="B13" s="3" t="s">
        <v>2</v>
      </c>
      <c r="C13" s="67" t="s">
        <v>3</v>
      </c>
      <c r="D13" s="69"/>
      <c r="E13" s="67" t="s">
        <v>4</v>
      </c>
      <c r="F13" s="69"/>
      <c r="G13" s="67" t="s">
        <v>5</v>
      </c>
      <c r="H13" s="69"/>
      <c r="I13" s="67" t="s">
        <v>6</v>
      </c>
      <c r="J13" s="68"/>
      <c r="K13" s="11"/>
      <c r="L13" s="17"/>
      <c r="M13" s="36"/>
      <c r="N13" s="37"/>
    </row>
    <row r="14" spans="2:14" ht="18" customHeight="1">
      <c r="B14" s="8"/>
      <c r="C14" s="44"/>
      <c r="D14" s="45"/>
      <c r="E14" s="44"/>
      <c r="F14" s="45"/>
      <c r="G14" s="44"/>
      <c r="H14" s="45"/>
      <c r="I14" s="44"/>
      <c r="J14" s="59"/>
      <c r="K14" s="11"/>
      <c r="L14" s="17"/>
      <c r="M14" s="36"/>
      <c r="N14" s="37"/>
    </row>
    <row r="15" spans="2:14" ht="18" customHeight="1">
      <c r="B15" s="6"/>
      <c r="C15" s="46"/>
      <c r="D15" s="47"/>
      <c r="E15" s="46"/>
      <c r="F15" s="47"/>
      <c r="G15" s="46"/>
      <c r="H15" s="47"/>
      <c r="I15" s="57"/>
      <c r="J15" s="58"/>
      <c r="K15" s="13"/>
      <c r="L15" s="19"/>
      <c r="M15" s="40"/>
      <c r="N15" s="41"/>
    </row>
    <row r="16" spans="2:14" ht="18" customHeight="1">
      <c r="B16" s="8"/>
      <c r="C16" s="44"/>
      <c r="D16" s="45"/>
      <c r="E16" s="44"/>
      <c r="F16" s="45"/>
      <c r="G16" s="44"/>
      <c r="H16" s="45"/>
      <c r="I16" s="53"/>
      <c r="J16" s="54"/>
      <c r="K16" s="65"/>
      <c r="L16" s="16"/>
      <c r="M16" s="42"/>
      <c r="N16" s="43"/>
    </row>
    <row r="17" spans="2:14" ht="18" customHeight="1">
      <c r="B17" s="6"/>
      <c r="C17" s="46"/>
      <c r="D17" s="47"/>
      <c r="E17" s="46"/>
      <c r="F17" s="47"/>
      <c r="G17" s="46"/>
      <c r="H17" s="47"/>
      <c r="I17" s="57"/>
      <c r="J17" s="58"/>
      <c r="K17" s="66"/>
      <c r="L17" s="17"/>
      <c r="M17" s="36"/>
      <c r="N17" s="37"/>
    </row>
    <row r="18" spans="2:14" ht="18" customHeight="1">
      <c r="B18" s="9"/>
      <c r="C18" s="62"/>
      <c r="D18" s="63"/>
      <c r="E18" s="62"/>
      <c r="F18" s="63"/>
      <c r="G18" s="62"/>
      <c r="H18" s="63"/>
      <c r="I18" s="62"/>
      <c r="J18" s="64"/>
      <c r="K18" s="66"/>
      <c r="L18" s="17"/>
      <c r="M18" s="36"/>
      <c r="N18" s="37"/>
    </row>
    <row r="19" spans="2:14" ht="18" customHeight="1">
      <c r="B19" s="6"/>
      <c r="C19" s="46"/>
      <c r="D19" s="47"/>
      <c r="E19" s="46"/>
      <c r="F19" s="47"/>
      <c r="G19" s="46"/>
      <c r="H19" s="47"/>
      <c r="I19" s="57"/>
      <c r="J19" s="58"/>
      <c r="K19" s="11"/>
      <c r="L19" s="17"/>
      <c r="M19" s="36"/>
      <c r="N19" s="37"/>
    </row>
    <row r="20" spans="2:14" ht="18" customHeight="1">
      <c r="B20" s="8"/>
      <c r="C20" s="44"/>
      <c r="D20" s="45"/>
      <c r="E20" s="44"/>
      <c r="F20" s="45"/>
      <c r="G20" s="44"/>
      <c r="H20" s="45"/>
      <c r="I20" s="44"/>
      <c r="J20" s="59"/>
      <c r="K20" s="11"/>
      <c r="L20" s="17"/>
      <c r="M20" s="36"/>
      <c r="N20" s="37"/>
    </row>
    <row r="21" spans="2:14" ht="18" customHeight="1">
      <c r="B21" s="6"/>
      <c r="C21" s="46"/>
      <c r="D21" s="47"/>
      <c r="E21" s="46"/>
      <c r="F21" s="47"/>
      <c r="G21" s="46"/>
      <c r="H21" s="47"/>
      <c r="I21" s="60"/>
      <c r="J21" s="61"/>
      <c r="K21" s="13"/>
      <c r="L21" s="19"/>
      <c r="M21" s="40"/>
      <c r="N21" s="41"/>
    </row>
    <row r="22" spans="2:14" ht="18" customHeight="1">
      <c r="B22" s="8"/>
      <c r="C22" s="44"/>
      <c r="D22" s="45"/>
      <c r="E22" s="44"/>
      <c r="F22" s="45"/>
      <c r="G22" s="44"/>
      <c r="H22" s="45"/>
      <c r="I22" s="44"/>
      <c r="J22" s="59"/>
      <c r="K22" s="65"/>
      <c r="L22" s="16"/>
      <c r="M22" s="42"/>
      <c r="N22" s="43"/>
    </row>
    <row r="23" spans="2:14" ht="18" customHeight="1">
      <c r="B23" s="6"/>
      <c r="C23" s="46"/>
      <c r="D23" s="47"/>
      <c r="E23" s="46"/>
      <c r="F23" s="47"/>
      <c r="G23" s="46"/>
      <c r="H23" s="47"/>
      <c r="I23" s="57"/>
      <c r="J23" s="58"/>
      <c r="K23" s="66"/>
      <c r="L23" s="17"/>
      <c r="M23" s="36"/>
      <c r="N23" s="37"/>
    </row>
    <row r="24" spans="2:14" ht="18" customHeight="1">
      <c r="B24" s="8"/>
      <c r="C24" s="44"/>
      <c r="D24" s="45"/>
      <c r="E24" s="44"/>
      <c r="F24" s="45"/>
      <c r="G24" s="44"/>
      <c r="H24" s="45"/>
      <c r="I24" s="44"/>
      <c r="J24" s="59"/>
      <c r="K24" s="66"/>
      <c r="L24" s="17"/>
      <c r="M24" s="36"/>
      <c r="N24" s="37"/>
    </row>
    <row r="25" spans="2:14" ht="18" customHeight="1">
      <c r="B25" s="6"/>
      <c r="C25" s="46"/>
      <c r="D25" s="47"/>
      <c r="E25" s="46"/>
      <c r="F25" s="47"/>
      <c r="G25" s="46"/>
      <c r="H25" s="47"/>
      <c r="I25" s="57"/>
      <c r="J25" s="58"/>
      <c r="K25" s="66"/>
      <c r="L25" s="17"/>
      <c r="M25" s="36"/>
      <c r="N25" s="37"/>
    </row>
    <row r="26" spans="2:14" ht="18" customHeight="1">
      <c r="B26" s="8"/>
      <c r="C26" s="44"/>
      <c r="D26" s="45"/>
      <c r="E26" s="44"/>
      <c r="F26" s="45"/>
      <c r="G26" s="44"/>
      <c r="H26" s="45"/>
      <c r="I26" s="44"/>
      <c r="J26" s="59"/>
      <c r="K26" s="11"/>
      <c r="L26" s="17"/>
      <c r="M26" s="36"/>
      <c r="N26" s="37"/>
    </row>
    <row r="27" spans="2:14" ht="18" customHeight="1">
      <c r="B27" s="6"/>
      <c r="C27" s="46"/>
      <c r="D27" s="47"/>
      <c r="E27" s="46"/>
      <c r="F27" s="47"/>
      <c r="G27" s="46"/>
      <c r="H27" s="47"/>
      <c r="I27" s="57"/>
      <c r="J27" s="58"/>
      <c r="K27" s="13"/>
      <c r="L27" s="19"/>
      <c r="M27" s="40"/>
      <c r="N27" s="41"/>
    </row>
    <row r="28" spans="2:14" ht="18" customHeight="1">
      <c r="B28" s="8"/>
      <c r="C28" s="44"/>
      <c r="D28" s="45"/>
      <c r="E28" s="44"/>
      <c r="F28" s="45"/>
      <c r="G28" s="44"/>
      <c r="H28" s="45"/>
      <c r="I28" s="44"/>
      <c r="J28" s="59"/>
      <c r="K28" s="65"/>
      <c r="L28" s="16"/>
      <c r="M28" s="42"/>
      <c r="N28" s="43"/>
    </row>
    <row r="29" spans="2:14" ht="18" customHeight="1">
      <c r="B29" s="6"/>
      <c r="C29" s="46"/>
      <c r="D29" s="47"/>
      <c r="E29" s="46"/>
      <c r="F29" s="47"/>
      <c r="G29" s="46"/>
      <c r="H29" s="47"/>
      <c r="I29" s="46"/>
      <c r="J29" s="52"/>
      <c r="K29" s="66"/>
      <c r="L29" s="17"/>
      <c r="M29" s="36"/>
      <c r="N29" s="37"/>
    </row>
    <row r="30" spans="2:14" ht="18" customHeight="1">
      <c r="B30" s="8"/>
      <c r="C30" s="44"/>
      <c r="D30" s="45"/>
      <c r="E30" s="44"/>
      <c r="F30" s="45"/>
      <c r="G30" s="44"/>
      <c r="H30" s="45"/>
      <c r="I30" s="50"/>
      <c r="J30" s="51"/>
      <c r="K30" s="66"/>
      <c r="L30" s="17"/>
      <c r="M30" s="36"/>
      <c r="N30" s="37"/>
    </row>
    <row r="31" spans="2:14" ht="18" customHeight="1">
      <c r="B31" s="6"/>
      <c r="C31" s="46"/>
      <c r="D31" s="47"/>
      <c r="E31" s="46"/>
      <c r="F31" s="47"/>
      <c r="G31" s="46"/>
      <c r="H31" s="47"/>
      <c r="I31" s="46"/>
      <c r="J31" s="52"/>
      <c r="K31" s="14"/>
      <c r="L31" s="17"/>
      <c r="M31" s="36"/>
      <c r="N31" s="37"/>
    </row>
    <row r="32" spans="2:14" ht="18" customHeight="1">
      <c r="B32" s="8"/>
      <c r="C32" s="44"/>
      <c r="D32" s="45"/>
      <c r="E32" s="44"/>
      <c r="F32" s="45"/>
      <c r="G32" s="44"/>
      <c r="H32" s="45"/>
      <c r="I32" s="53"/>
      <c r="J32" s="54"/>
      <c r="K32" s="14"/>
      <c r="L32" s="17"/>
      <c r="M32" s="36"/>
      <c r="N32" s="37"/>
    </row>
    <row r="33" spans="2:14" ht="18" customHeight="1">
      <c r="B33" s="7"/>
      <c r="C33" s="48"/>
      <c r="D33" s="49"/>
      <c r="E33" s="48"/>
      <c r="F33" s="49"/>
      <c r="G33" s="48"/>
      <c r="H33" s="49"/>
      <c r="I33" s="55"/>
      <c r="J33" s="56"/>
      <c r="K33" s="15"/>
      <c r="L33" s="20"/>
      <c r="M33" s="38"/>
      <c r="N33" s="39"/>
    </row>
  </sheetData>
  <sheetProtection/>
  <mergeCells count="123">
    <mergeCell ref="C13:D13"/>
    <mergeCell ref="E13:F13"/>
    <mergeCell ref="G13:H13"/>
    <mergeCell ref="I13:J13"/>
    <mergeCell ref="M13:N13"/>
    <mergeCell ref="B3:B4"/>
    <mergeCell ref="K2:M3"/>
    <mergeCell ref="K4:K6"/>
    <mergeCell ref="M4:N4"/>
    <mergeCell ref="M5:N5"/>
    <mergeCell ref="K10:K12"/>
    <mergeCell ref="N2:N3"/>
    <mergeCell ref="M10:N10"/>
    <mergeCell ref="B11:J12"/>
    <mergeCell ref="M11:N11"/>
    <mergeCell ref="M12:N12"/>
    <mergeCell ref="M6:N6"/>
    <mergeCell ref="M7:N7"/>
    <mergeCell ref="M8:N8"/>
    <mergeCell ref="M9:N9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M17:N17"/>
    <mergeCell ref="C18:D18"/>
    <mergeCell ref="E18:F18"/>
    <mergeCell ref="G18:H18"/>
    <mergeCell ref="I18:J18"/>
    <mergeCell ref="M18:N18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E24:F24"/>
    <mergeCell ref="G24:H24"/>
    <mergeCell ref="I24:J24"/>
    <mergeCell ref="M24:N24"/>
    <mergeCell ref="C25:D25"/>
    <mergeCell ref="E25:F25"/>
    <mergeCell ref="G25:H25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G27:H27"/>
    <mergeCell ref="I27:J27"/>
    <mergeCell ref="M27:N27"/>
    <mergeCell ref="M22:N22"/>
    <mergeCell ref="C23:D23"/>
    <mergeCell ref="E23:F23"/>
    <mergeCell ref="G23:H23"/>
    <mergeCell ref="I23:J23"/>
    <mergeCell ref="M23:N23"/>
    <mergeCell ref="C24:D24"/>
    <mergeCell ref="I29:J29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C32:D32"/>
    <mergeCell ref="E32:F32"/>
    <mergeCell ref="G32:H32"/>
    <mergeCell ref="I32:J32"/>
    <mergeCell ref="M32:N32"/>
    <mergeCell ref="M29:N29"/>
    <mergeCell ref="C30:D30"/>
    <mergeCell ref="E30:F30"/>
    <mergeCell ref="G30:H30"/>
    <mergeCell ref="I30:J30"/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</mergeCells>
  <conditionalFormatting sqref="C4:H4">
    <cfRule type="expression" priority="3" dxfId="2" stopIfTrue="1">
      <formula>DAY(C4)&gt;8</formula>
    </cfRule>
  </conditionalFormatting>
  <conditionalFormatting sqref="C8:I10">
    <cfRule type="expression" priority="2" dxfId="2" stopIfTrue="1">
      <formula>AND(DAY(C8)&gt;=1,DAY(C8)&lt;=15)</formula>
    </cfRule>
  </conditionalFormatting>
  <conditionalFormatting sqref="C4:I9">
    <cfRule type="expression" priority="4" dxfId="1">
      <formula>VLOOKUP(DAY(C4),КоличествоДней,1,FALSE)=DAY(C4)</formula>
    </cfRule>
  </conditionalFormatting>
  <conditionalFormatting sqref="B14:J33">
    <cfRule type="expression" priority="1" dxfId="0">
      <formula>B14&lt;&gt;""</formula>
    </cfRule>
  </conditionalFormatting>
  <printOptions horizontalCentered="1" verticalCentered="1"/>
  <pageMargins left="0.5" right="0.5" top="0.5" bottom="0.5" header="0.3" footer="0.3"/>
  <pageSetup fitToHeight="1" fitToWidth="1" horizontalDpi="600" verticalDpi="600" orientation="landscape" paperSize="9" scale="9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2:N33"/>
  <sheetViews>
    <sheetView showGridLines="0" zoomScalePageLayoutView="84" workbookViewId="0" topLeftCell="A1">
      <selection activeCell="N2" sqref="N2:N3"/>
    </sheetView>
  </sheetViews>
  <sheetFormatPr defaultColWidth="8.7109375" defaultRowHeight="16.5" customHeight="1"/>
  <cols>
    <col min="1" max="1" width="2.28125" style="1" customWidth="1"/>
    <col min="2" max="2" width="17.57421875" style="1" customWidth="1"/>
    <col min="3" max="10" width="9.140625" style="1" customWidth="1"/>
    <col min="11" max="11" width="7.28125" style="1" customWidth="1"/>
    <col min="12" max="12" width="3.8515625" style="0" customWidth="1"/>
    <col min="13" max="13" width="51.421875" style="1" customWidth="1"/>
    <col min="14" max="14" width="10.7109375" style="1" customWidth="1"/>
    <col min="15" max="15" width="2.28125" style="0" customWidth="1"/>
    <col min="16" max="16384" width="8.7109375" style="1" customWidth="1"/>
  </cols>
  <sheetData>
    <row r="1" ht="11.25" customHeight="1"/>
    <row r="2" spans="1:14" ht="18" customHeight="1">
      <c r="A2" s="4"/>
      <c r="B2" s="30"/>
      <c r="C2" s="21"/>
      <c r="D2" s="21"/>
      <c r="E2" s="21"/>
      <c r="F2" s="21"/>
      <c r="G2" s="21"/>
      <c r="H2" s="21"/>
      <c r="I2" s="21"/>
      <c r="J2" s="22"/>
      <c r="K2" s="70" t="s">
        <v>20</v>
      </c>
      <c r="L2" s="71">
        <v>2013</v>
      </c>
      <c r="M2" s="71"/>
      <c r="N2" s="79">
        <f>КалендарныйГод</f>
        <v>2019</v>
      </c>
    </row>
    <row r="3" spans="1:14" ht="21" customHeight="1">
      <c r="A3" s="4"/>
      <c r="B3" s="31" t="s">
        <v>14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19</v>
      </c>
      <c r="J3" s="5"/>
      <c r="K3" s="72"/>
      <c r="L3" s="73"/>
      <c r="M3" s="73"/>
      <c r="N3" s="80"/>
    </row>
    <row r="4" spans="1:14" ht="18" customHeight="1">
      <c r="A4" s="4"/>
      <c r="B4" s="31"/>
      <c r="C4" s="10">
        <f>IF(DAY(МайВс1)=1,МайВс1-6,МайВс1+1)</f>
        <v>43584</v>
      </c>
      <c r="D4" s="10">
        <f>IF(DAY(МайВс1)=1,МайВс1-5,МайВс1+2)</f>
        <v>43585</v>
      </c>
      <c r="E4" s="10">
        <f>IF(DAY(МайВс1)=1,МайВс1-4,МайВс1+3)</f>
        <v>43586</v>
      </c>
      <c r="F4" s="10">
        <f>IF(DAY(МайВс1)=1,МайВс1-3,МайВс1+4)</f>
        <v>43587</v>
      </c>
      <c r="G4" s="10">
        <f>IF(DAY(МайВс1)=1,МайВс1-2,МайВс1+5)</f>
        <v>43588</v>
      </c>
      <c r="H4" s="10">
        <f>IF(DAY(МайВс1)=1,МайВс1-1,МайВс1+6)</f>
        <v>43589</v>
      </c>
      <c r="I4" s="10">
        <f>IF(DAY(МайВс1)=1,МайВс1,МайВс1+7)</f>
        <v>43590</v>
      </c>
      <c r="J4" s="5"/>
      <c r="K4" s="74"/>
      <c r="L4" s="16"/>
      <c r="M4" s="75"/>
      <c r="N4" s="76"/>
    </row>
    <row r="5" spans="1:14" ht="18" customHeight="1">
      <c r="A5" s="4"/>
      <c r="B5" s="28"/>
      <c r="C5" s="10">
        <f>IF(DAY(МайВс1)=1,МайВс1+1,МайВс1+8)</f>
        <v>43591</v>
      </c>
      <c r="D5" s="10">
        <f>IF(DAY(МайВс1)=1,МайВс1+2,МайВс1+9)</f>
        <v>43592</v>
      </c>
      <c r="E5" s="10">
        <f>IF(DAY(МайВс1)=1,МайВс1+3,МайВс1+10)</f>
        <v>43593</v>
      </c>
      <c r="F5" s="10">
        <f>IF(DAY(МайВс1)=1,МайВс1+4,МайВс1+11)</f>
        <v>43594</v>
      </c>
      <c r="G5" s="10">
        <f>IF(DAY(МайВс1)=1,МайВс1+5,МайВс1+12)</f>
        <v>43595</v>
      </c>
      <c r="H5" s="10">
        <f>IF(DAY(МайВс1)=1,МайВс1+6,МайВс1+13)</f>
        <v>43596</v>
      </c>
      <c r="I5" s="10">
        <f>IF(DAY(МайВс1)=1,МайВс1+7,МайВс1+14)</f>
        <v>43597</v>
      </c>
      <c r="J5" s="5"/>
      <c r="K5" s="66"/>
      <c r="L5" s="17"/>
      <c r="M5" s="36"/>
      <c r="N5" s="37"/>
    </row>
    <row r="6" spans="1:14" ht="18" customHeight="1">
      <c r="A6" s="4"/>
      <c r="B6" s="28"/>
      <c r="C6" s="10">
        <f>IF(DAY(МайВс1)=1,МайВс1+8,МайВс1+15)</f>
        <v>43598</v>
      </c>
      <c r="D6" s="10">
        <f>IF(DAY(МайВс1)=1,МайВс1+9,МайВс1+16)</f>
        <v>43599</v>
      </c>
      <c r="E6" s="10">
        <f>IF(DAY(МайВс1)=1,МайВс1+10,МайВс1+17)</f>
        <v>43600</v>
      </c>
      <c r="F6" s="10">
        <f>IF(DAY(МайВс1)=1,МайВс1+11,МайВс1+18)</f>
        <v>43601</v>
      </c>
      <c r="G6" s="10">
        <f>IF(DAY(МайВс1)=1,МайВс1+12,МайВс1+19)</f>
        <v>43602</v>
      </c>
      <c r="H6" s="10">
        <f>IF(DAY(МайВс1)=1,МайВс1+13,МайВс1+20)</f>
        <v>43603</v>
      </c>
      <c r="I6" s="10">
        <f>IF(DAY(МайВс1)=1,МайВс1+14,МайВс1+21)</f>
        <v>43604</v>
      </c>
      <c r="J6" s="5"/>
      <c r="K6" s="66"/>
      <c r="L6" s="17"/>
      <c r="M6" s="36"/>
      <c r="N6" s="37"/>
    </row>
    <row r="7" spans="1:14" ht="18" customHeight="1">
      <c r="A7" s="4"/>
      <c r="B7" s="28"/>
      <c r="C7" s="10">
        <f>IF(DAY(МайВс1)=1,МайВс1+15,МайВс1+22)</f>
        <v>43605</v>
      </c>
      <c r="D7" s="10">
        <f>IF(DAY(МайВс1)=1,МайВс1+16,МайВс1+23)</f>
        <v>43606</v>
      </c>
      <c r="E7" s="10">
        <f>IF(DAY(МайВс1)=1,МайВс1+17,МайВс1+24)</f>
        <v>43607</v>
      </c>
      <c r="F7" s="10">
        <f>IF(DAY(МайВс1)=1,МайВс1+18,МайВс1+25)</f>
        <v>43608</v>
      </c>
      <c r="G7" s="10">
        <f>IF(DAY(МайВс1)=1,МайВс1+19,МайВс1+26)</f>
        <v>43609</v>
      </c>
      <c r="H7" s="10">
        <f>IF(DAY(МайВс1)=1,МайВс1+20,МайВс1+27)</f>
        <v>43610</v>
      </c>
      <c r="I7" s="10">
        <f>IF(DAY(МайВс1)=1,МайВс1+21,МайВс1+28)</f>
        <v>43611</v>
      </c>
      <c r="J7" s="5"/>
      <c r="K7" s="11"/>
      <c r="L7" s="17"/>
      <c r="M7" s="36"/>
      <c r="N7" s="37"/>
    </row>
    <row r="8" spans="1:14" ht="18.75" customHeight="1">
      <c r="A8" s="4"/>
      <c r="B8" s="28"/>
      <c r="C8" s="10">
        <f>IF(DAY(МайВс1)=1,МайВс1+22,МайВс1+29)</f>
        <v>43612</v>
      </c>
      <c r="D8" s="10">
        <f>IF(DAY(МайВс1)=1,МайВс1+23,МайВс1+30)</f>
        <v>43613</v>
      </c>
      <c r="E8" s="10">
        <f>IF(DAY(МайВс1)=1,МайВс1+24,МайВс1+31)</f>
        <v>43614</v>
      </c>
      <c r="F8" s="10">
        <f>IF(DAY(МайВс1)=1,МайВс1+25,МайВс1+32)</f>
        <v>43615</v>
      </c>
      <c r="G8" s="10">
        <f>IF(DAY(МайВс1)=1,МайВс1+26,МайВс1+33)</f>
        <v>43616</v>
      </c>
      <c r="H8" s="10">
        <f>IF(DAY(МайВс1)=1,МайВс1+27,МайВс1+34)</f>
        <v>43617</v>
      </c>
      <c r="I8" s="10">
        <f>IF(DAY(МайВс1)=1,МайВс1+28,МайВс1+35)</f>
        <v>43618</v>
      </c>
      <c r="J8" s="5"/>
      <c r="K8" s="11"/>
      <c r="L8" s="17"/>
      <c r="M8" s="36"/>
      <c r="N8" s="37"/>
    </row>
    <row r="9" spans="1:14" ht="18" customHeight="1">
      <c r="A9" s="4"/>
      <c r="B9" s="28"/>
      <c r="C9" s="10">
        <f>IF(DAY(МайВс1)=1,МайВс1+29,МайВс1+36)</f>
        <v>43619</v>
      </c>
      <c r="D9" s="10">
        <f>IF(DAY(МайВс1)=1,МайВс1+30,МайВс1+37)</f>
        <v>43620</v>
      </c>
      <c r="E9" s="10">
        <f>IF(DAY(МайВс1)=1,МайВс1+31,МайВс1+38)</f>
        <v>43621</v>
      </c>
      <c r="F9" s="10">
        <f>IF(DAY(МайВс1)=1,МайВс1+32,МайВс1+39)</f>
        <v>43622</v>
      </c>
      <c r="G9" s="10">
        <f>IF(DAY(МайВс1)=1,МайВс1+33,МайВс1+40)</f>
        <v>43623</v>
      </c>
      <c r="H9" s="10">
        <f>IF(DAY(МайВс1)=1,МайВс1+34,МайВс1+41)</f>
        <v>43624</v>
      </c>
      <c r="I9" s="10">
        <f>IF(DAY(МайВс1)=1,МайВс1+35,МайВс1+42)</f>
        <v>43625</v>
      </c>
      <c r="J9" s="5"/>
      <c r="K9" s="12"/>
      <c r="L9" s="18"/>
      <c r="M9" s="40"/>
      <c r="N9" s="41"/>
    </row>
    <row r="10" spans="1:14" ht="18" customHeight="1">
      <c r="A10" s="4"/>
      <c r="B10" s="29"/>
      <c r="C10" s="23"/>
      <c r="D10" s="23"/>
      <c r="E10" s="23"/>
      <c r="F10" s="23"/>
      <c r="G10" s="23"/>
      <c r="H10" s="23"/>
      <c r="I10" s="23"/>
      <c r="J10" s="24"/>
      <c r="K10" s="65"/>
      <c r="L10" s="16"/>
      <c r="M10" s="42"/>
      <c r="N10" s="43"/>
    </row>
    <row r="11" spans="1:14" ht="18" customHeight="1">
      <c r="A11" s="4"/>
      <c r="B11" s="33" t="s">
        <v>1</v>
      </c>
      <c r="C11" s="34"/>
      <c r="D11" s="34"/>
      <c r="E11" s="34"/>
      <c r="F11" s="34"/>
      <c r="G11" s="34"/>
      <c r="H11" s="34"/>
      <c r="I11" s="34"/>
      <c r="J11" s="35"/>
      <c r="K11" s="66"/>
      <c r="L11" s="17"/>
      <c r="M11" s="36"/>
      <c r="N11" s="37"/>
    </row>
    <row r="12" spans="1:14" ht="18" customHeight="1">
      <c r="A12" s="4"/>
      <c r="B12" s="33"/>
      <c r="C12" s="34"/>
      <c r="D12" s="34"/>
      <c r="E12" s="34"/>
      <c r="F12" s="34"/>
      <c r="G12" s="34"/>
      <c r="H12" s="34"/>
      <c r="I12" s="34"/>
      <c r="J12" s="35"/>
      <c r="K12" s="66"/>
      <c r="L12" s="17"/>
      <c r="M12" s="36"/>
      <c r="N12" s="37"/>
    </row>
    <row r="13" spans="2:14" ht="18" customHeight="1">
      <c r="B13" s="3" t="s">
        <v>2</v>
      </c>
      <c r="C13" s="67" t="s">
        <v>3</v>
      </c>
      <c r="D13" s="69"/>
      <c r="E13" s="67" t="s">
        <v>4</v>
      </c>
      <c r="F13" s="69"/>
      <c r="G13" s="67" t="s">
        <v>5</v>
      </c>
      <c r="H13" s="69"/>
      <c r="I13" s="67" t="s">
        <v>6</v>
      </c>
      <c r="J13" s="68"/>
      <c r="K13" s="11"/>
      <c r="L13" s="17"/>
      <c r="M13" s="36"/>
      <c r="N13" s="37"/>
    </row>
    <row r="14" spans="2:14" ht="18" customHeight="1">
      <c r="B14" s="8"/>
      <c r="C14" s="44"/>
      <c r="D14" s="45"/>
      <c r="E14" s="44"/>
      <c r="F14" s="45"/>
      <c r="G14" s="44"/>
      <c r="H14" s="45"/>
      <c r="I14" s="44"/>
      <c r="J14" s="59"/>
      <c r="K14" s="11"/>
      <c r="L14" s="17"/>
      <c r="M14" s="36"/>
      <c r="N14" s="37"/>
    </row>
    <row r="15" spans="2:14" ht="18" customHeight="1">
      <c r="B15" s="6"/>
      <c r="C15" s="46"/>
      <c r="D15" s="47"/>
      <c r="E15" s="46"/>
      <c r="F15" s="47"/>
      <c r="G15" s="46"/>
      <c r="H15" s="47"/>
      <c r="I15" s="57"/>
      <c r="J15" s="58"/>
      <c r="K15" s="13"/>
      <c r="L15" s="19"/>
      <c r="M15" s="40"/>
      <c r="N15" s="41"/>
    </row>
    <row r="16" spans="2:14" ht="18" customHeight="1">
      <c r="B16" s="8"/>
      <c r="C16" s="44"/>
      <c r="D16" s="45"/>
      <c r="E16" s="44"/>
      <c r="F16" s="45"/>
      <c r="G16" s="44"/>
      <c r="H16" s="45"/>
      <c r="I16" s="53"/>
      <c r="J16" s="54"/>
      <c r="K16" s="65"/>
      <c r="L16" s="16"/>
      <c r="M16" s="42"/>
      <c r="N16" s="43"/>
    </row>
    <row r="17" spans="2:14" ht="18" customHeight="1">
      <c r="B17" s="6"/>
      <c r="C17" s="46"/>
      <c r="D17" s="47"/>
      <c r="E17" s="46"/>
      <c r="F17" s="47"/>
      <c r="G17" s="46"/>
      <c r="H17" s="47"/>
      <c r="I17" s="57"/>
      <c r="J17" s="58"/>
      <c r="K17" s="66"/>
      <c r="L17" s="17"/>
      <c r="M17" s="36"/>
      <c r="N17" s="37"/>
    </row>
    <row r="18" spans="2:14" ht="18" customHeight="1">
      <c r="B18" s="9"/>
      <c r="C18" s="62"/>
      <c r="D18" s="63"/>
      <c r="E18" s="62"/>
      <c r="F18" s="63"/>
      <c r="G18" s="62"/>
      <c r="H18" s="63"/>
      <c r="I18" s="62"/>
      <c r="J18" s="64"/>
      <c r="K18" s="66"/>
      <c r="L18" s="17"/>
      <c r="M18" s="36"/>
      <c r="N18" s="37"/>
    </row>
    <row r="19" spans="2:14" ht="18" customHeight="1">
      <c r="B19" s="6"/>
      <c r="C19" s="46"/>
      <c r="D19" s="47"/>
      <c r="E19" s="46"/>
      <c r="F19" s="47"/>
      <c r="G19" s="46"/>
      <c r="H19" s="47"/>
      <c r="I19" s="57"/>
      <c r="J19" s="58"/>
      <c r="K19" s="11"/>
      <c r="L19" s="17"/>
      <c r="M19" s="36"/>
      <c r="N19" s="37"/>
    </row>
    <row r="20" spans="2:14" ht="18" customHeight="1">
      <c r="B20" s="8"/>
      <c r="C20" s="44"/>
      <c r="D20" s="45"/>
      <c r="E20" s="44"/>
      <c r="F20" s="45"/>
      <c r="G20" s="44"/>
      <c r="H20" s="45"/>
      <c r="I20" s="44"/>
      <c r="J20" s="59"/>
      <c r="K20" s="11"/>
      <c r="L20" s="17"/>
      <c r="M20" s="36"/>
      <c r="N20" s="37"/>
    </row>
    <row r="21" spans="2:14" ht="18" customHeight="1">
      <c r="B21" s="6"/>
      <c r="C21" s="46"/>
      <c r="D21" s="47"/>
      <c r="E21" s="46"/>
      <c r="F21" s="47"/>
      <c r="G21" s="46"/>
      <c r="H21" s="47"/>
      <c r="I21" s="60"/>
      <c r="J21" s="61"/>
      <c r="K21" s="13"/>
      <c r="L21" s="19"/>
      <c r="M21" s="40"/>
      <c r="N21" s="41"/>
    </row>
    <row r="22" spans="2:14" ht="18" customHeight="1">
      <c r="B22" s="8"/>
      <c r="C22" s="44"/>
      <c r="D22" s="45"/>
      <c r="E22" s="44"/>
      <c r="F22" s="45"/>
      <c r="G22" s="44"/>
      <c r="H22" s="45"/>
      <c r="I22" s="44"/>
      <c r="J22" s="59"/>
      <c r="K22" s="65"/>
      <c r="L22" s="16"/>
      <c r="M22" s="42"/>
      <c r="N22" s="43"/>
    </row>
    <row r="23" spans="2:14" ht="18" customHeight="1">
      <c r="B23" s="6"/>
      <c r="C23" s="46"/>
      <c r="D23" s="47"/>
      <c r="E23" s="46"/>
      <c r="F23" s="47"/>
      <c r="G23" s="46"/>
      <c r="H23" s="47"/>
      <c r="I23" s="57"/>
      <c r="J23" s="58"/>
      <c r="K23" s="66"/>
      <c r="L23" s="17"/>
      <c r="M23" s="36"/>
      <c r="N23" s="37"/>
    </row>
    <row r="24" spans="2:14" ht="18" customHeight="1">
      <c r="B24" s="8"/>
      <c r="C24" s="44"/>
      <c r="D24" s="45"/>
      <c r="E24" s="44"/>
      <c r="F24" s="45"/>
      <c r="G24" s="44"/>
      <c r="H24" s="45"/>
      <c r="I24" s="44"/>
      <c r="J24" s="59"/>
      <c r="K24" s="66"/>
      <c r="L24" s="17"/>
      <c r="M24" s="36"/>
      <c r="N24" s="37"/>
    </row>
    <row r="25" spans="2:14" ht="18" customHeight="1">
      <c r="B25" s="6"/>
      <c r="C25" s="46"/>
      <c r="D25" s="47"/>
      <c r="E25" s="46"/>
      <c r="F25" s="47"/>
      <c r="G25" s="46"/>
      <c r="H25" s="47"/>
      <c r="I25" s="57"/>
      <c r="J25" s="58"/>
      <c r="K25" s="66"/>
      <c r="L25" s="17"/>
      <c r="M25" s="36"/>
      <c r="N25" s="37"/>
    </row>
    <row r="26" spans="2:14" ht="18" customHeight="1">
      <c r="B26" s="8"/>
      <c r="C26" s="44"/>
      <c r="D26" s="45"/>
      <c r="E26" s="44"/>
      <c r="F26" s="45"/>
      <c r="G26" s="44"/>
      <c r="H26" s="45"/>
      <c r="I26" s="44"/>
      <c r="J26" s="59"/>
      <c r="K26" s="11"/>
      <c r="L26" s="17"/>
      <c r="M26" s="36"/>
      <c r="N26" s="37"/>
    </row>
    <row r="27" spans="2:14" ht="18" customHeight="1">
      <c r="B27" s="6"/>
      <c r="C27" s="46"/>
      <c r="D27" s="47"/>
      <c r="E27" s="46"/>
      <c r="F27" s="47"/>
      <c r="G27" s="46"/>
      <c r="H27" s="47"/>
      <c r="I27" s="57"/>
      <c r="J27" s="58"/>
      <c r="K27" s="13"/>
      <c r="L27" s="19"/>
      <c r="M27" s="40"/>
      <c r="N27" s="41"/>
    </row>
    <row r="28" spans="2:14" ht="18" customHeight="1">
      <c r="B28" s="8"/>
      <c r="C28" s="44"/>
      <c r="D28" s="45"/>
      <c r="E28" s="44"/>
      <c r="F28" s="45"/>
      <c r="G28" s="44"/>
      <c r="H28" s="45"/>
      <c r="I28" s="44"/>
      <c r="J28" s="59"/>
      <c r="K28" s="65"/>
      <c r="L28" s="16"/>
      <c r="M28" s="42"/>
      <c r="N28" s="43"/>
    </row>
    <row r="29" spans="2:14" ht="18" customHeight="1">
      <c r="B29" s="6"/>
      <c r="C29" s="46"/>
      <c r="D29" s="47"/>
      <c r="E29" s="46"/>
      <c r="F29" s="47"/>
      <c r="G29" s="46"/>
      <c r="H29" s="47"/>
      <c r="I29" s="46"/>
      <c r="J29" s="52"/>
      <c r="K29" s="66"/>
      <c r="L29" s="17"/>
      <c r="M29" s="36"/>
      <c r="N29" s="37"/>
    </row>
    <row r="30" spans="2:14" ht="18" customHeight="1">
      <c r="B30" s="8"/>
      <c r="C30" s="44"/>
      <c r="D30" s="45"/>
      <c r="E30" s="44"/>
      <c r="F30" s="45"/>
      <c r="G30" s="44"/>
      <c r="H30" s="45"/>
      <c r="I30" s="50"/>
      <c r="J30" s="51"/>
      <c r="K30" s="66"/>
      <c r="L30" s="17"/>
      <c r="M30" s="36"/>
      <c r="N30" s="37"/>
    </row>
    <row r="31" spans="2:14" ht="18" customHeight="1">
      <c r="B31" s="6"/>
      <c r="C31" s="46"/>
      <c r="D31" s="47"/>
      <c r="E31" s="46"/>
      <c r="F31" s="47"/>
      <c r="G31" s="46"/>
      <c r="H31" s="47"/>
      <c r="I31" s="46"/>
      <c r="J31" s="52"/>
      <c r="K31" s="14"/>
      <c r="L31" s="17"/>
      <c r="M31" s="36"/>
      <c r="N31" s="37"/>
    </row>
    <row r="32" spans="2:14" ht="18" customHeight="1">
      <c r="B32" s="8"/>
      <c r="C32" s="44"/>
      <c r="D32" s="45"/>
      <c r="E32" s="44"/>
      <c r="F32" s="45"/>
      <c r="G32" s="44"/>
      <c r="H32" s="45"/>
      <c r="I32" s="53"/>
      <c r="J32" s="54"/>
      <c r="K32" s="14"/>
      <c r="L32" s="17"/>
      <c r="M32" s="36"/>
      <c r="N32" s="37"/>
    </row>
    <row r="33" spans="2:14" ht="18" customHeight="1">
      <c r="B33" s="7"/>
      <c r="C33" s="48"/>
      <c r="D33" s="49"/>
      <c r="E33" s="48"/>
      <c r="F33" s="49"/>
      <c r="G33" s="48"/>
      <c r="H33" s="49"/>
      <c r="I33" s="55"/>
      <c r="J33" s="56"/>
      <c r="K33" s="15"/>
      <c r="L33" s="20"/>
      <c r="M33" s="38"/>
      <c r="N33" s="39"/>
    </row>
  </sheetData>
  <sheetProtection/>
  <mergeCells count="123">
    <mergeCell ref="C13:D13"/>
    <mergeCell ref="E13:F13"/>
    <mergeCell ref="G13:H13"/>
    <mergeCell ref="I13:J13"/>
    <mergeCell ref="M13:N13"/>
    <mergeCell ref="B3:B4"/>
    <mergeCell ref="K2:M3"/>
    <mergeCell ref="K4:K6"/>
    <mergeCell ref="M4:N4"/>
    <mergeCell ref="M5:N5"/>
    <mergeCell ref="K10:K12"/>
    <mergeCell ref="N2:N3"/>
    <mergeCell ref="M10:N10"/>
    <mergeCell ref="B11:J12"/>
    <mergeCell ref="M11:N11"/>
    <mergeCell ref="M12:N12"/>
    <mergeCell ref="M6:N6"/>
    <mergeCell ref="M7:N7"/>
    <mergeCell ref="M8:N8"/>
    <mergeCell ref="M9:N9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M17:N17"/>
    <mergeCell ref="C18:D18"/>
    <mergeCell ref="E18:F18"/>
    <mergeCell ref="G18:H18"/>
    <mergeCell ref="I18:J18"/>
    <mergeCell ref="M18:N18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E24:F24"/>
    <mergeCell ref="G24:H24"/>
    <mergeCell ref="I24:J24"/>
    <mergeCell ref="M24:N24"/>
    <mergeCell ref="C25:D25"/>
    <mergeCell ref="E25:F25"/>
    <mergeCell ref="G25:H25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G27:H27"/>
    <mergeCell ref="I27:J27"/>
    <mergeCell ref="M27:N27"/>
    <mergeCell ref="M22:N22"/>
    <mergeCell ref="C23:D23"/>
    <mergeCell ref="E23:F23"/>
    <mergeCell ref="G23:H23"/>
    <mergeCell ref="I23:J23"/>
    <mergeCell ref="M23:N23"/>
    <mergeCell ref="C24:D24"/>
    <mergeCell ref="I29:J29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C32:D32"/>
    <mergeCell ref="E32:F32"/>
    <mergeCell ref="G32:H32"/>
    <mergeCell ref="I32:J32"/>
    <mergeCell ref="M32:N32"/>
    <mergeCell ref="M29:N29"/>
    <mergeCell ref="C30:D30"/>
    <mergeCell ref="E30:F30"/>
    <mergeCell ref="G30:H30"/>
    <mergeCell ref="I30:J30"/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</mergeCells>
  <conditionalFormatting sqref="C4:H4">
    <cfRule type="expression" priority="3" dxfId="2" stopIfTrue="1">
      <formula>DAY(C4)&gt;8</formula>
    </cfRule>
  </conditionalFormatting>
  <conditionalFormatting sqref="C8:I10">
    <cfRule type="expression" priority="2" dxfId="2" stopIfTrue="1">
      <formula>AND(DAY(C8)&gt;=1,DAY(C8)&lt;=15)</formula>
    </cfRule>
  </conditionalFormatting>
  <conditionalFormatting sqref="C4:I9">
    <cfRule type="expression" priority="4" dxfId="1">
      <formula>VLOOKUP(DAY(C4),КоличествоДней,1,FALSE)=DAY(C4)</formula>
    </cfRule>
  </conditionalFormatting>
  <conditionalFormatting sqref="B14:J33">
    <cfRule type="expression" priority="1" dxfId="0">
      <formula>B14&lt;&gt;""</formula>
    </cfRule>
  </conditionalFormatting>
  <printOptions horizontalCentered="1" verticalCentered="1"/>
  <pageMargins left="0.5" right="0.5" top="0.5" bottom="0.5" header="0.3" footer="0.3"/>
  <pageSetup fitToHeight="1" fitToWidth="1" horizontalDpi="600" verticalDpi="600" orientation="landscape" paperSize="9" scale="9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2:N33"/>
  <sheetViews>
    <sheetView showGridLines="0" zoomScalePageLayoutView="84" workbookViewId="0" topLeftCell="A1">
      <selection activeCell="N2" sqref="N2:N3"/>
    </sheetView>
  </sheetViews>
  <sheetFormatPr defaultColWidth="8.7109375" defaultRowHeight="16.5" customHeight="1"/>
  <cols>
    <col min="1" max="1" width="2.28125" style="1" customWidth="1"/>
    <col min="2" max="2" width="17.57421875" style="1" customWidth="1"/>
    <col min="3" max="10" width="9.140625" style="1" customWidth="1"/>
    <col min="11" max="11" width="7.28125" style="1" customWidth="1"/>
    <col min="12" max="12" width="3.8515625" style="0" customWidth="1"/>
    <col min="13" max="13" width="51.421875" style="1" customWidth="1"/>
    <col min="14" max="14" width="10.7109375" style="1" customWidth="1"/>
    <col min="15" max="15" width="2.28125" style="0" customWidth="1"/>
    <col min="16" max="16384" width="8.7109375" style="1" customWidth="1"/>
  </cols>
  <sheetData>
    <row r="1" ht="11.25" customHeight="1"/>
    <row r="2" spans="1:14" ht="18" customHeight="1">
      <c r="A2" s="4"/>
      <c r="B2" s="30"/>
      <c r="C2" s="21"/>
      <c r="D2" s="21"/>
      <c r="E2" s="21"/>
      <c r="F2" s="21"/>
      <c r="G2" s="21"/>
      <c r="H2" s="21"/>
      <c r="I2" s="21"/>
      <c r="J2" s="22"/>
      <c r="K2" s="70" t="s">
        <v>20</v>
      </c>
      <c r="L2" s="71">
        <v>2013</v>
      </c>
      <c r="M2" s="71"/>
      <c r="N2" s="79">
        <f>КалендарныйГод</f>
        <v>2019</v>
      </c>
    </row>
    <row r="3" spans="1:14" ht="21" customHeight="1">
      <c r="A3" s="4"/>
      <c r="B3" s="31" t="s">
        <v>15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19</v>
      </c>
      <c r="J3" s="5"/>
      <c r="K3" s="72"/>
      <c r="L3" s="73"/>
      <c r="M3" s="73"/>
      <c r="N3" s="80"/>
    </row>
    <row r="4" spans="1:14" ht="18" customHeight="1">
      <c r="A4" s="4"/>
      <c r="B4" s="31"/>
      <c r="C4" s="10">
        <f>IF(DAY(ИюнВс1)=1,ИюнВс1-6,ИюнВс1+1)</f>
        <v>43612</v>
      </c>
      <c r="D4" s="10">
        <f>IF(DAY(ИюнВс1)=1,ИюнВс1-5,ИюнВс1+2)</f>
        <v>43613</v>
      </c>
      <c r="E4" s="10">
        <f>IF(DAY(ИюнВс1)=1,ИюнВс1-4,ИюнВс1+3)</f>
        <v>43614</v>
      </c>
      <c r="F4" s="10">
        <f>IF(DAY(ИюнВс1)=1,ИюнВс1-3,ИюнВс1+4)</f>
        <v>43615</v>
      </c>
      <c r="G4" s="10">
        <f>IF(DAY(ИюнВс1)=1,ИюнВс1-2,ИюнВс1+5)</f>
        <v>43616</v>
      </c>
      <c r="H4" s="10">
        <f>IF(DAY(ИюнВс1)=1,ИюнВс1-1,ИюнВс1+6)</f>
        <v>43617</v>
      </c>
      <c r="I4" s="10">
        <f>IF(DAY(ИюнВс1)=1,ИюнВс1,ИюнВс1+7)</f>
        <v>43618</v>
      </c>
      <c r="J4" s="5"/>
      <c r="K4" s="74"/>
      <c r="L4" s="16"/>
      <c r="M4" s="75"/>
      <c r="N4" s="76"/>
    </row>
    <row r="5" spans="1:14" ht="18" customHeight="1">
      <c r="A5" s="4"/>
      <c r="B5" s="28"/>
      <c r="C5" s="10">
        <f>IF(DAY(ИюнВс1)=1,ИюнВс1+1,ИюнВс1+8)</f>
        <v>43619</v>
      </c>
      <c r="D5" s="10">
        <f>IF(DAY(ИюнВс1)=1,ИюнВс1+2,ИюнВс1+9)</f>
        <v>43620</v>
      </c>
      <c r="E5" s="10">
        <f>IF(DAY(ИюнВс1)=1,ИюнВс1+3,ИюнВс1+10)</f>
        <v>43621</v>
      </c>
      <c r="F5" s="10">
        <f>IF(DAY(ИюнВс1)=1,ИюнВс1+4,ИюнВс1+11)</f>
        <v>43622</v>
      </c>
      <c r="G5" s="10">
        <f>IF(DAY(ИюнВс1)=1,ИюнВс1+5,ИюнВс1+12)</f>
        <v>43623</v>
      </c>
      <c r="H5" s="10">
        <f>IF(DAY(ИюнВс1)=1,ИюнВс1+6,ИюнВс1+13)</f>
        <v>43624</v>
      </c>
      <c r="I5" s="10">
        <f>IF(DAY(ИюнВс1)=1,ИюнВс1+7,ИюнВс1+14)</f>
        <v>43625</v>
      </c>
      <c r="J5" s="5"/>
      <c r="K5" s="66"/>
      <c r="L5" s="17"/>
      <c r="M5" s="36"/>
      <c r="N5" s="37"/>
    </row>
    <row r="6" spans="1:14" ht="18" customHeight="1">
      <c r="A6" s="4"/>
      <c r="B6" s="28"/>
      <c r="C6" s="10">
        <f>IF(DAY(ИюнВс1)=1,ИюнВс1+8,ИюнВс1+15)</f>
        <v>43626</v>
      </c>
      <c r="D6" s="10">
        <f>IF(DAY(ИюнВс1)=1,ИюнВс1+9,ИюнВс1+16)</f>
        <v>43627</v>
      </c>
      <c r="E6" s="10">
        <f>IF(DAY(ИюнВс1)=1,ИюнВс1+10,ИюнВс1+17)</f>
        <v>43628</v>
      </c>
      <c r="F6" s="10">
        <f>IF(DAY(ИюнВс1)=1,ИюнВс1+11,ИюнВс1+18)</f>
        <v>43629</v>
      </c>
      <c r="G6" s="10">
        <f>IF(DAY(ИюнВс1)=1,ИюнВс1+12,ИюнВс1+19)</f>
        <v>43630</v>
      </c>
      <c r="H6" s="10">
        <f>IF(DAY(ИюнВс1)=1,ИюнВс1+13,ИюнВс1+20)</f>
        <v>43631</v>
      </c>
      <c r="I6" s="10">
        <f>IF(DAY(ИюнВс1)=1,ИюнВс1+14,ИюнВс1+21)</f>
        <v>43632</v>
      </c>
      <c r="J6" s="5"/>
      <c r="K6" s="66"/>
      <c r="L6" s="17"/>
      <c r="M6" s="36"/>
      <c r="N6" s="37"/>
    </row>
    <row r="7" spans="1:14" ht="18" customHeight="1">
      <c r="A7" s="4"/>
      <c r="B7" s="28"/>
      <c r="C7" s="10">
        <f>IF(DAY(ИюнВс1)=1,ИюнВс1+15,ИюнВс1+22)</f>
        <v>43633</v>
      </c>
      <c r="D7" s="10">
        <f>IF(DAY(ИюнВс1)=1,ИюнВс1+16,ИюнВс1+23)</f>
        <v>43634</v>
      </c>
      <c r="E7" s="10">
        <f>IF(DAY(ИюнВс1)=1,ИюнВс1+17,ИюнВс1+24)</f>
        <v>43635</v>
      </c>
      <c r="F7" s="10">
        <f>IF(DAY(ИюнВс1)=1,ИюнВс1+18,ИюнВс1+25)</f>
        <v>43636</v>
      </c>
      <c r="G7" s="10">
        <f>IF(DAY(ИюнВс1)=1,ИюнВс1+19,ИюнВс1+26)</f>
        <v>43637</v>
      </c>
      <c r="H7" s="10">
        <f>IF(DAY(ИюнВс1)=1,ИюнВс1+20,ИюнВс1+27)</f>
        <v>43638</v>
      </c>
      <c r="I7" s="10">
        <f>IF(DAY(ИюнВс1)=1,ИюнВс1+21,ИюнВс1+28)</f>
        <v>43639</v>
      </c>
      <c r="J7" s="5"/>
      <c r="K7" s="11"/>
      <c r="L7" s="17"/>
      <c r="M7" s="36"/>
      <c r="N7" s="37"/>
    </row>
    <row r="8" spans="1:14" ht="18.75" customHeight="1">
      <c r="A8" s="4"/>
      <c r="B8" s="28"/>
      <c r="C8" s="10">
        <f>IF(DAY(ИюнВс1)=1,ИюнВс1+22,ИюнВс1+29)</f>
        <v>43640</v>
      </c>
      <c r="D8" s="10">
        <f>IF(DAY(ИюнВс1)=1,ИюнВс1+23,ИюнВс1+30)</f>
        <v>43641</v>
      </c>
      <c r="E8" s="10">
        <f>IF(DAY(ИюнВс1)=1,ИюнВс1+24,ИюнВс1+31)</f>
        <v>43642</v>
      </c>
      <c r="F8" s="10">
        <f>IF(DAY(ИюнВс1)=1,ИюнВс1+25,ИюнВс1+32)</f>
        <v>43643</v>
      </c>
      <c r="G8" s="10">
        <f>IF(DAY(ИюнВс1)=1,ИюнВс1+26,ИюнВс1+33)</f>
        <v>43644</v>
      </c>
      <c r="H8" s="10">
        <f>IF(DAY(ИюнВс1)=1,ИюнВс1+27,ИюнВс1+34)</f>
        <v>43645</v>
      </c>
      <c r="I8" s="10">
        <f>IF(DAY(ИюнВс1)=1,ИюнВс1+28,ИюнВс1+35)</f>
        <v>43646</v>
      </c>
      <c r="J8" s="5"/>
      <c r="K8" s="11"/>
      <c r="L8" s="17"/>
      <c r="M8" s="36"/>
      <c r="N8" s="37"/>
    </row>
    <row r="9" spans="1:14" ht="18" customHeight="1">
      <c r="A9" s="4"/>
      <c r="B9" s="28"/>
      <c r="C9" s="10">
        <f>IF(DAY(ИюнВс1)=1,ИюнВс1+29,ИюнВс1+36)</f>
        <v>43647</v>
      </c>
      <c r="D9" s="10">
        <f>IF(DAY(ИюнВс1)=1,ИюнВс1+30,ИюнВс1+37)</f>
        <v>43648</v>
      </c>
      <c r="E9" s="10">
        <f>IF(DAY(ИюнВс1)=1,ИюнВс1+31,ИюнВс1+38)</f>
        <v>43649</v>
      </c>
      <c r="F9" s="10">
        <f>IF(DAY(ИюнВс1)=1,ИюнВс1+32,ИюнВс1+39)</f>
        <v>43650</v>
      </c>
      <c r="G9" s="10">
        <f>IF(DAY(ИюнВс1)=1,ИюнВс1+33,ИюнВс1+40)</f>
        <v>43651</v>
      </c>
      <c r="H9" s="10">
        <f>IF(DAY(ИюнВс1)=1,ИюнВс1+34,ИюнВс1+41)</f>
        <v>43652</v>
      </c>
      <c r="I9" s="10">
        <f>IF(DAY(ИюнВс1)=1,ИюнВс1+35,ИюнВс1+42)</f>
        <v>43653</v>
      </c>
      <c r="J9" s="5"/>
      <c r="K9" s="12"/>
      <c r="L9" s="18"/>
      <c r="M9" s="40"/>
      <c r="N9" s="41"/>
    </row>
    <row r="10" spans="1:14" ht="18" customHeight="1">
      <c r="A10" s="4"/>
      <c r="B10" s="29"/>
      <c r="C10" s="23"/>
      <c r="D10" s="23"/>
      <c r="E10" s="23"/>
      <c r="F10" s="23"/>
      <c r="G10" s="23"/>
      <c r="H10" s="23"/>
      <c r="I10" s="23"/>
      <c r="J10" s="24"/>
      <c r="K10" s="65"/>
      <c r="L10" s="16"/>
      <c r="M10" s="42"/>
      <c r="N10" s="43"/>
    </row>
    <row r="11" spans="1:14" ht="18" customHeight="1">
      <c r="A11" s="4"/>
      <c r="B11" s="33" t="s">
        <v>1</v>
      </c>
      <c r="C11" s="34"/>
      <c r="D11" s="34"/>
      <c r="E11" s="34"/>
      <c r="F11" s="34"/>
      <c r="G11" s="34"/>
      <c r="H11" s="34"/>
      <c r="I11" s="34"/>
      <c r="J11" s="35"/>
      <c r="K11" s="66"/>
      <c r="L11" s="17"/>
      <c r="M11" s="36"/>
      <c r="N11" s="37"/>
    </row>
    <row r="12" spans="1:14" ht="18" customHeight="1">
      <c r="A12" s="4"/>
      <c r="B12" s="33"/>
      <c r="C12" s="34"/>
      <c r="D12" s="34"/>
      <c r="E12" s="34"/>
      <c r="F12" s="34"/>
      <c r="G12" s="34"/>
      <c r="H12" s="34"/>
      <c r="I12" s="34"/>
      <c r="J12" s="35"/>
      <c r="K12" s="66"/>
      <c r="L12" s="17"/>
      <c r="M12" s="36"/>
      <c r="N12" s="37"/>
    </row>
    <row r="13" spans="2:14" ht="18" customHeight="1">
      <c r="B13" s="3" t="s">
        <v>2</v>
      </c>
      <c r="C13" s="67" t="s">
        <v>3</v>
      </c>
      <c r="D13" s="69"/>
      <c r="E13" s="67" t="s">
        <v>4</v>
      </c>
      <c r="F13" s="69"/>
      <c r="G13" s="67" t="s">
        <v>5</v>
      </c>
      <c r="H13" s="69"/>
      <c r="I13" s="67" t="s">
        <v>6</v>
      </c>
      <c r="J13" s="68"/>
      <c r="K13" s="11"/>
      <c r="L13" s="17"/>
      <c r="M13" s="36"/>
      <c r="N13" s="37"/>
    </row>
    <row r="14" spans="2:14" ht="18" customHeight="1">
      <c r="B14" s="8"/>
      <c r="C14" s="44"/>
      <c r="D14" s="45"/>
      <c r="E14" s="44"/>
      <c r="F14" s="45"/>
      <c r="G14" s="44"/>
      <c r="H14" s="45"/>
      <c r="I14" s="44"/>
      <c r="J14" s="59"/>
      <c r="K14" s="11"/>
      <c r="L14" s="17"/>
      <c r="M14" s="36"/>
      <c r="N14" s="37"/>
    </row>
    <row r="15" spans="2:14" ht="18" customHeight="1">
      <c r="B15" s="6"/>
      <c r="C15" s="46"/>
      <c r="D15" s="47"/>
      <c r="E15" s="46"/>
      <c r="F15" s="47"/>
      <c r="G15" s="46"/>
      <c r="H15" s="47"/>
      <c r="I15" s="57"/>
      <c r="J15" s="58"/>
      <c r="K15" s="13"/>
      <c r="L15" s="19"/>
      <c r="M15" s="40"/>
      <c r="N15" s="41"/>
    </row>
    <row r="16" spans="2:14" ht="18" customHeight="1">
      <c r="B16" s="8"/>
      <c r="C16" s="44"/>
      <c r="D16" s="45"/>
      <c r="E16" s="44"/>
      <c r="F16" s="45"/>
      <c r="G16" s="44"/>
      <c r="H16" s="45"/>
      <c r="I16" s="53"/>
      <c r="J16" s="54"/>
      <c r="K16" s="65"/>
      <c r="L16" s="16"/>
      <c r="M16" s="42"/>
      <c r="N16" s="43"/>
    </row>
    <row r="17" spans="2:14" ht="18" customHeight="1">
      <c r="B17" s="6"/>
      <c r="C17" s="46"/>
      <c r="D17" s="47"/>
      <c r="E17" s="46"/>
      <c r="F17" s="47"/>
      <c r="G17" s="46"/>
      <c r="H17" s="47"/>
      <c r="I17" s="57"/>
      <c r="J17" s="58"/>
      <c r="K17" s="66"/>
      <c r="L17" s="17"/>
      <c r="M17" s="36"/>
      <c r="N17" s="37"/>
    </row>
    <row r="18" spans="2:14" ht="18" customHeight="1">
      <c r="B18" s="9"/>
      <c r="C18" s="62"/>
      <c r="D18" s="63"/>
      <c r="E18" s="62"/>
      <c r="F18" s="63"/>
      <c r="G18" s="62"/>
      <c r="H18" s="63"/>
      <c r="I18" s="62"/>
      <c r="J18" s="64"/>
      <c r="K18" s="66"/>
      <c r="L18" s="17"/>
      <c r="M18" s="36"/>
      <c r="N18" s="37"/>
    </row>
    <row r="19" spans="2:14" ht="18" customHeight="1">
      <c r="B19" s="6"/>
      <c r="C19" s="46"/>
      <c r="D19" s="47"/>
      <c r="E19" s="46"/>
      <c r="F19" s="47"/>
      <c r="G19" s="46"/>
      <c r="H19" s="47"/>
      <c r="I19" s="57"/>
      <c r="J19" s="58"/>
      <c r="K19" s="11"/>
      <c r="L19" s="17"/>
      <c r="M19" s="36"/>
      <c r="N19" s="37"/>
    </row>
    <row r="20" spans="2:14" ht="18" customHeight="1">
      <c r="B20" s="8"/>
      <c r="C20" s="44"/>
      <c r="D20" s="45"/>
      <c r="E20" s="44"/>
      <c r="F20" s="45"/>
      <c r="G20" s="44"/>
      <c r="H20" s="45"/>
      <c r="I20" s="44"/>
      <c r="J20" s="59"/>
      <c r="K20" s="11"/>
      <c r="L20" s="17"/>
      <c r="M20" s="36"/>
      <c r="N20" s="37"/>
    </row>
    <row r="21" spans="2:14" ht="18" customHeight="1">
      <c r="B21" s="6"/>
      <c r="C21" s="46"/>
      <c r="D21" s="47"/>
      <c r="E21" s="46"/>
      <c r="F21" s="47"/>
      <c r="G21" s="46"/>
      <c r="H21" s="47"/>
      <c r="I21" s="60"/>
      <c r="J21" s="61"/>
      <c r="K21" s="13"/>
      <c r="L21" s="19"/>
      <c r="M21" s="40"/>
      <c r="N21" s="41"/>
    </row>
    <row r="22" spans="2:14" ht="18" customHeight="1">
      <c r="B22" s="8"/>
      <c r="C22" s="44"/>
      <c r="D22" s="45"/>
      <c r="E22" s="44"/>
      <c r="F22" s="45"/>
      <c r="G22" s="44"/>
      <c r="H22" s="45"/>
      <c r="I22" s="44"/>
      <c r="J22" s="59"/>
      <c r="K22" s="65"/>
      <c r="L22" s="16"/>
      <c r="M22" s="42"/>
      <c r="N22" s="43"/>
    </row>
    <row r="23" spans="2:14" ht="18" customHeight="1">
      <c r="B23" s="6"/>
      <c r="C23" s="46"/>
      <c r="D23" s="47"/>
      <c r="E23" s="46"/>
      <c r="F23" s="47"/>
      <c r="G23" s="46"/>
      <c r="H23" s="47"/>
      <c r="I23" s="57"/>
      <c r="J23" s="58"/>
      <c r="K23" s="66"/>
      <c r="L23" s="17"/>
      <c r="M23" s="36"/>
      <c r="N23" s="37"/>
    </row>
    <row r="24" spans="2:14" ht="18" customHeight="1">
      <c r="B24" s="8"/>
      <c r="C24" s="44"/>
      <c r="D24" s="45"/>
      <c r="E24" s="44"/>
      <c r="F24" s="45"/>
      <c r="G24" s="44"/>
      <c r="H24" s="45"/>
      <c r="I24" s="44"/>
      <c r="J24" s="59"/>
      <c r="K24" s="66"/>
      <c r="L24" s="17"/>
      <c r="M24" s="36"/>
      <c r="N24" s="37"/>
    </row>
    <row r="25" spans="2:14" ht="18" customHeight="1">
      <c r="B25" s="6"/>
      <c r="C25" s="46"/>
      <c r="D25" s="47"/>
      <c r="E25" s="46"/>
      <c r="F25" s="47"/>
      <c r="G25" s="46"/>
      <c r="H25" s="47"/>
      <c r="I25" s="57"/>
      <c r="J25" s="58"/>
      <c r="K25" s="66"/>
      <c r="L25" s="17"/>
      <c r="M25" s="36"/>
      <c r="N25" s="37"/>
    </row>
    <row r="26" spans="2:14" ht="18" customHeight="1">
      <c r="B26" s="8"/>
      <c r="C26" s="44"/>
      <c r="D26" s="45"/>
      <c r="E26" s="44"/>
      <c r="F26" s="45"/>
      <c r="G26" s="44"/>
      <c r="H26" s="45"/>
      <c r="I26" s="44"/>
      <c r="J26" s="59"/>
      <c r="K26" s="11"/>
      <c r="L26" s="17"/>
      <c r="M26" s="36"/>
      <c r="N26" s="37"/>
    </row>
    <row r="27" spans="2:14" ht="18" customHeight="1">
      <c r="B27" s="6"/>
      <c r="C27" s="46"/>
      <c r="D27" s="47"/>
      <c r="E27" s="46"/>
      <c r="F27" s="47"/>
      <c r="G27" s="46"/>
      <c r="H27" s="47"/>
      <c r="I27" s="57"/>
      <c r="J27" s="58"/>
      <c r="K27" s="13"/>
      <c r="L27" s="19"/>
      <c r="M27" s="40"/>
      <c r="N27" s="41"/>
    </row>
    <row r="28" spans="2:14" ht="18" customHeight="1">
      <c r="B28" s="8"/>
      <c r="C28" s="44"/>
      <c r="D28" s="45"/>
      <c r="E28" s="44"/>
      <c r="F28" s="45"/>
      <c r="G28" s="44"/>
      <c r="H28" s="45"/>
      <c r="I28" s="44"/>
      <c r="J28" s="59"/>
      <c r="K28" s="65"/>
      <c r="L28" s="16"/>
      <c r="M28" s="42"/>
      <c r="N28" s="43"/>
    </row>
    <row r="29" spans="2:14" ht="18" customHeight="1">
      <c r="B29" s="6"/>
      <c r="C29" s="46"/>
      <c r="D29" s="47"/>
      <c r="E29" s="46"/>
      <c r="F29" s="47"/>
      <c r="G29" s="46"/>
      <c r="H29" s="47"/>
      <c r="I29" s="46"/>
      <c r="J29" s="52"/>
      <c r="K29" s="66"/>
      <c r="L29" s="17"/>
      <c r="M29" s="36"/>
      <c r="N29" s="37"/>
    </row>
    <row r="30" spans="2:14" ht="18" customHeight="1">
      <c r="B30" s="8"/>
      <c r="C30" s="44"/>
      <c r="D30" s="45"/>
      <c r="E30" s="44"/>
      <c r="F30" s="45"/>
      <c r="G30" s="44"/>
      <c r="H30" s="45"/>
      <c r="I30" s="50"/>
      <c r="J30" s="51"/>
      <c r="K30" s="66"/>
      <c r="L30" s="17"/>
      <c r="M30" s="36"/>
      <c r="N30" s="37"/>
    </row>
    <row r="31" spans="2:14" ht="18" customHeight="1">
      <c r="B31" s="6"/>
      <c r="C31" s="46"/>
      <c r="D31" s="47"/>
      <c r="E31" s="46"/>
      <c r="F31" s="47"/>
      <c r="G31" s="46"/>
      <c r="H31" s="47"/>
      <c r="I31" s="46"/>
      <c r="J31" s="52"/>
      <c r="K31" s="14"/>
      <c r="L31" s="17"/>
      <c r="M31" s="36"/>
      <c r="N31" s="37"/>
    </row>
    <row r="32" spans="2:14" ht="18" customHeight="1">
      <c r="B32" s="8"/>
      <c r="C32" s="44"/>
      <c r="D32" s="45"/>
      <c r="E32" s="44"/>
      <c r="F32" s="45"/>
      <c r="G32" s="44"/>
      <c r="H32" s="45"/>
      <c r="I32" s="53"/>
      <c r="J32" s="54"/>
      <c r="K32" s="14"/>
      <c r="L32" s="17"/>
      <c r="M32" s="36"/>
      <c r="N32" s="37"/>
    </row>
    <row r="33" spans="2:14" ht="18" customHeight="1">
      <c r="B33" s="7"/>
      <c r="C33" s="48"/>
      <c r="D33" s="49"/>
      <c r="E33" s="48"/>
      <c r="F33" s="49"/>
      <c r="G33" s="48"/>
      <c r="H33" s="49"/>
      <c r="I33" s="55"/>
      <c r="J33" s="56"/>
      <c r="K33" s="15"/>
      <c r="L33" s="20"/>
      <c r="M33" s="38"/>
      <c r="N33" s="39"/>
    </row>
  </sheetData>
  <sheetProtection/>
  <mergeCells count="123">
    <mergeCell ref="C13:D13"/>
    <mergeCell ref="E13:F13"/>
    <mergeCell ref="G13:H13"/>
    <mergeCell ref="I13:J13"/>
    <mergeCell ref="M13:N13"/>
    <mergeCell ref="B3:B4"/>
    <mergeCell ref="K2:M3"/>
    <mergeCell ref="K4:K6"/>
    <mergeCell ref="M4:N4"/>
    <mergeCell ref="M5:N5"/>
    <mergeCell ref="K10:K12"/>
    <mergeCell ref="N2:N3"/>
    <mergeCell ref="M10:N10"/>
    <mergeCell ref="B11:J12"/>
    <mergeCell ref="M11:N11"/>
    <mergeCell ref="M12:N12"/>
    <mergeCell ref="M6:N6"/>
    <mergeCell ref="M7:N7"/>
    <mergeCell ref="M8:N8"/>
    <mergeCell ref="M9:N9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M17:N17"/>
    <mergeCell ref="C18:D18"/>
    <mergeCell ref="E18:F18"/>
    <mergeCell ref="G18:H18"/>
    <mergeCell ref="I18:J18"/>
    <mergeCell ref="M18:N18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E24:F24"/>
    <mergeCell ref="G24:H24"/>
    <mergeCell ref="I24:J24"/>
    <mergeCell ref="M24:N24"/>
    <mergeCell ref="C25:D25"/>
    <mergeCell ref="E25:F25"/>
    <mergeCell ref="G25:H25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G27:H27"/>
    <mergeCell ref="I27:J27"/>
    <mergeCell ref="M27:N27"/>
    <mergeCell ref="M22:N22"/>
    <mergeCell ref="C23:D23"/>
    <mergeCell ref="E23:F23"/>
    <mergeCell ref="G23:H23"/>
    <mergeCell ref="I23:J23"/>
    <mergeCell ref="M23:N23"/>
    <mergeCell ref="C24:D24"/>
    <mergeCell ref="I29:J29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C32:D32"/>
    <mergeCell ref="E32:F32"/>
    <mergeCell ref="G32:H32"/>
    <mergeCell ref="I32:J32"/>
    <mergeCell ref="M32:N32"/>
    <mergeCell ref="M29:N29"/>
    <mergeCell ref="C30:D30"/>
    <mergeCell ref="E30:F30"/>
    <mergeCell ref="G30:H30"/>
    <mergeCell ref="I30:J30"/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</mergeCells>
  <conditionalFormatting sqref="C4:H4">
    <cfRule type="expression" priority="3" dxfId="2" stopIfTrue="1">
      <formula>DAY(C4)&gt;8</formula>
    </cfRule>
  </conditionalFormatting>
  <conditionalFormatting sqref="C8:I10">
    <cfRule type="expression" priority="2" dxfId="2" stopIfTrue="1">
      <formula>AND(DAY(C8)&gt;=1,DAY(C8)&lt;=15)</formula>
    </cfRule>
  </conditionalFormatting>
  <conditionalFormatting sqref="C4:I9">
    <cfRule type="expression" priority="4" dxfId="1">
      <formula>VLOOKUP(DAY(C4),КоличествоДней,1,FALSE)=DAY(C4)</formula>
    </cfRule>
  </conditionalFormatting>
  <conditionalFormatting sqref="B14:J33">
    <cfRule type="expression" priority="1" dxfId="0">
      <formula>B14&lt;&gt;""</formula>
    </cfRule>
  </conditionalFormatting>
  <printOptions horizontalCentered="1" verticalCentered="1"/>
  <pageMargins left="0.5" right="0.5" top="0.5" bottom="0.5" header="0.3" footer="0.3"/>
  <pageSetup fitToHeight="1" fitToWidth="1" horizontalDpi="600" verticalDpi="600" orientation="landscape" paperSize="9" scale="8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2:N33"/>
  <sheetViews>
    <sheetView showGridLines="0" zoomScalePageLayoutView="84" workbookViewId="0" topLeftCell="A1">
      <selection activeCell="N2" sqref="N2:N3"/>
    </sheetView>
  </sheetViews>
  <sheetFormatPr defaultColWidth="8.7109375" defaultRowHeight="16.5" customHeight="1"/>
  <cols>
    <col min="1" max="1" width="2.28125" style="1" customWidth="1"/>
    <col min="2" max="2" width="17.57421875" style="1" customWidth="1"/>
    <col min="3" max="10" width="9.140625" style="1" customWidth="1"/>
    <col min="11" max="11" width="7.28125" style="1" customWidth="1"/>
    <col min="12" max="12" width="3.8515625" style="0" customWidth="1"/>
    <col min="13" max="13" width="51.421875" style="1" customWidth="1"/>
    <col min="14" max="14" width="10.7109375" style="1" customWidth="1"/>
    <col min="15" max="15" width="2.28125" style="0" customWidth="1"/>
    <col min="16" max="16384" width="8.7109375" style="1" customWidth="1"/>
  </cols>
  <sheetData>
    <row r="1" ht="11.25" customHeight="1"/>
    <row r="2" spans="1:14" ht="18" customHeight="1">
      <c r="A2" s="4"/>
      <c r="B2" s="30"/>
      <c r="C2" s="21"/>
      <c r="D2" s="21"/>
      <c r="E2" s="21"/>
      <c r="F2" s="21"/>
      <c r="G2" s="21"/>
      <c r="H2" s="21"/>
      <c r="I2" s="21"/>
      <c r="J2" s="22"/>
      <c r="K2" s="70" t="s">
        <v>20</v>
      </c>
      <c r="L2" s="71">
        <v>2013</v>
      </c>
      <c r="M2" s="71"/>
      <c r="N2" s="79">
        <f>КалендарныйГод</f>
        <v>2019</v>
      </c>
    </row>
    <row r="3" spans="1:14" ht="21" customHeight="1">
      <c r="A3" s="4"/>
      <c r="B3" s="31" t="s">
        <v>16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19</v>
      </c>
      <c r="J3" s="5"/>
      <c r="K3" s="72"/>
      <c r="L3" s="73"/>
      <c r="M3" s="73"/>
      <c r="N3" s="80"/>
    </row>
    <row r="4" spans="1:14" ht="18" customHeight="1">
      <c r="A4" s="4"/>
      <c r="B4" s="31"/>
      <c r="C4" s="10">
        <f>IF(DAY(ИюлВс1)=1,ИюлВс1-6,ИюлВс1+1)</f>
        <v>43647</v>
      </c>
      <c r="D4" s="10">
        <f>IF(DAY(ИюлВс1)=1,ИюлВс1-5,ИюлВс1+2)</f>
        <v>43648</v>
      </c>
      <c r="E4" s="10">
        <f>IF(DAY(ИюлВс1)=1,ИюлВс1-4,ИюлВс1+3)</f>
        <v>43649</v>
      </c>
      <c r="F4" s="10">
        <f>IF(DAY(ИюлВс1)=1,ИюлВс1-3,ИюлВс1+4)</f>
        <v>43650</v>
      </c>
      <c r="G4" s="10">
        <f>IF(DAY(ИюлВс1)=1,ИюлВс1-2,ИюлВс1+5)</f>
        <v>43651</v>
      </c>
      <c r="H4" s="10">
        <f>IF(DAY(ИюлВс1)=1,ИюлВс1-1,ИюлВс1+6)</f>
        <v>43652</v>
      </c>
      <c r="I4" s="10">
        <f>IF(DAY(ИюлВс1)=1,ИюлВс1,ИюлВс1+7)</f>
        <v>43653</v>
      </c>
      <c r="J4" s="5"/>
      <c r="K4" s="74"/>
      <c r="L4" s="16"/>
      <c r="M4" s="75"/>
      <c r="N4" s="76"/>
    </row>
    <row r="5" spans="1:14" ht="18" customHeight="1">
      <c r="A5" s="4"/>
      <c r="B5" s="28"/>
      <c r="C5" s="10">
        <f>IF(DAY(ИюлВс1)=1,ИюлВс1+1,ИюлВс1+8)</f>
        <v>43654</v>
      </c>
      <c r="D5" s="10">
        <f>IF(DAY(ИюлВс1)=1,ИюлВс1+2,ИюлВс1+9)</f>
        <v>43655</v>
      </c>
      <c r="E5" s="10">
        <f>IF(DAY(ИюлВс1)=1,ИюлВс1+3,ИюлВс1+10)</f>
        <v>43656</v>
      </c>
      <c r="F5" s="10">
        <f>IF(DAY(ИюлВс1)=1,ИюлВс1+4,ИюлВс1+11)</f>
        <v>43657</v>
      </c>
      <c r="G5" s="10">
        <f>IF(DAY(ИюлВс1)=1,ИюлВс1+5,ИюлВс1+12)</f>
        <v>43658</v>
      </c>
      <c r="H5" s="10">
        <f>IF(DAY(ИюлВс1)=1,ИюлВс1+6,ИюлВс1+13)</f>
        <v>43659</v>
      </c>
      <c r="I5" s="10">
        <f>IF(DAY(ИюлВс1)=1,ИюлВс1+7,ИюлВс1+14)</f>
        <v>43660</v>
      </c>
      <c r="J5" s="5"/>
      <c r="K5" s="66"/>
      <c r="L5" s="17"/>
      <c r="M5" s="36"/>
      <c r="N5" s="37"/>
    </row>
    <row r="6" spans="1:14" ht="18" customHeight="1">
      <c r="A6" s="4"/>
      <c r="B6" s="28"/>
      <c r="C6" s="10">
        <f>IF(DAY(ИюлВс1)=1,ИюлВс1+8,ИюлВс1+15)</f>
        <v>43661</v>
      </c>
      <c r="D6" s="10">
        <f>IF(DAY(ИюлВс1)=1,ИюлВс1+9,ИюлВс1+16)</f>
        <v>43662</v>
      </c>
      <c r="E6" s="10">
        <f>IF(DAY(ИюлВс1)=1,ИюлВс1+10,ИюлВс1+17)</f>
        <v>43663</v>
      </c>
      <c r="F6" s="10">
        <f>IF(DAY(ИюлВс1)=1,ИюлВс1+11,ИюлВс1+18)</f>
        <v>43664</v>
      </c>
      <c r="G6" s="10">
        <f>IF(DAY(ИюлВс1)=1,ИюлВс1+12,ИюлВс1+19)</f>
        <v>43665</v>
      </c>
      <c r="H6" s="10">
        <f>IF(DAY(ИюлВс1)=1,ИюлВс1+13,ИюлВс1+20)</f>
        <v>43666</v>
      </c>
      <c r="I6" s="10">
        <f>IF(DAY(ИюлВс1)=1,ИюлВс1+14,ИюлВс1+21)</f>
        <v>43667</v>
      </c>
      <c r="J6" s="5"/>
      <c r="K6" s="66"/>
      <c r="L6" s="17"/>
      <c r="M6" s="36"/>
      <c r="N6" s="37"/>
    </row>
    <row r="7" spans="1:14" ht="18" customHeight="1">
      <c r="A7" s="4"/>
      <c r="B7" s="28"/>
      <c r="C7" s="10">
        <f>IF(DAY(ИюлВс1)=1,ИюлВс1+15,ИюлВс1+22)</f>
        <v>43668</v>
      </c>
      <c r="D7" s="10">
        <f>IF(DAY(ИюлВс1)=1,ИюлВс1+16,ИюлВс1+23)</f>
        <v>43669</v>
      </c>
      <c r="E7" s="10">
        <f>IF(DAY(ИюлВс1)=1,ИюлВс1+17,ИюлВс1+24)</f>
        <v>43670</v>
      </c>
      <c r="F7" s="10">
        <f>IF(DAY(ИюлВс1)=1,ИюлВс1+18,ИюлВс1+25)</f>
        <v>43671</v>
      </c>
      <c r="G7" s="10">
        <f>IF(DAY(ИюлВс1)=1,ИюлВс1+19,ИюлВс1+26)</f>
        <v>43672</v>
      </c>
      <c r="H7" s="10">
        <f>IF(DAY(ИюлВс1)=1,ИюлВс1+20,ИюлВс1+27)</f>
        <v>43673</v>
      </c>
      <c r="I7" s="10">
        <f>IF(DAY(ИюлВс1)=1,ИюлВс1+21,ИюлВс1+28)</f>
        <v>43674</v>
      </c>
      <c r="J7" s="5"/>
      <c r="K7" s="11"/>
      <c r="L7" s="17"/>
      <c r="M7" s="36"/>
      <c r="N7" s="37"/>
    </row>
    <row r="8" spans="1:14" ht="18.75" customHeight="1">
      <c r="A8" s="4"/>
      <c r="B8" s="28"/>
      <c r="C8" s="10">
        <f>IF(DAY(ИюлВс1)=1,ИюлВс1+22,ИюлВс1+29)</f>
        <v>43675</v>
      </c>
      <c r="D8" s="10">
        <f>IF(DAY(ИюлВс1)=1,ИюлВс1+23,ИюлВс1+30)</f>
        <v>43676</v>
      </c>
      <c r="E8" s="10">
        <f>IF(DAY(ИюлВс1)=1,ИюлВс1+24,ИюлВс1+31)</f>
        <v>43677</v>
      </c>
      <c r="F8" s="10">
        <f>IF(DAY(ИюлВс1)=1,ИюлВс1+25,ИюлВс1+32)</f>
        <v>43678</v>
      </c>
      <c r="G8" s="10">
        <f>IF(DAY(ИюлВс1)=1,ИюлВс1+26,ИюлВс1+33)</f>
        <v>43679</v>
      </c>
      <c r="H8" s="10">
        <f>IF(DAY(ИюлВс1)=1,ИюлВс1+27,ИюлВс1+34)</f>
        <v>43680</v>
      </c>
      <c r="I8" s="10">
        <f>IF(DAY(ИюлВс1)=1,ИюлВс1+28,ИюлВс1+35)</f>
        <v>43681</v>
      </c>
      <c r="J8" s="5"/>
      <c r="K8" s="11"/>
      <c r="L8" s="17"/>
      <c r="M8" s="36"/>
      <c r="N8" s="37"/>
    </row>
    <row r="9" spans="1:14" ht="18" customHeight="1">
      <c r="A9" s="4"/>
      <c r="B9" s="28"/>
      <c r="C9" s="10">
        <f>IF(DAY(ИюлВс1)=1,ИюлВс1+29,ИюлВс1+36)</f>
        <v>43682</v>
      </c>
      <c r="D9" s="10">
        <f>IF(DAY(ИюлВс1)=1,ИюлВс1+30,ИюлВс1+37)</f>
        <v>43683</v>
      </c>
      <c r="E9" s="10">
        <f>IF(DAY(ИюлВс1)=1,ИюлВс1+31,ИюлВс1+38)</f>
        <v>43684</v>
      </c>
      <c r="F9" s="10">
        <f>IF(DAY(ИюлВс1)=1,ИюлВс1+32,ИюлВс1+39)</f>
        <v>43685</v>
      </c>
      <c r="G9" s="10">
        <f>IF(DAY(ИюлВс1)=1,ИюлВс1+33,ИюлВс1+40)</f>
        <v>43686</v>
      </c>
      <c r="H9" s="10">
        <f>IF(DAY(ИюлВс1)=1,ИюлВс1+34,ИюлВс1+41)</f>
        <v>43687</v>
      </c>
      <c r="I9" s="10">
        <f>IF(DAY(ИюлВс1)=1,ИюлВс1+35,ИюлВс1+42)</f>
        <v>43688</v>
      </c>
      <c r="J9" s="5"/>
      <c r="K9" s="12"/>
      <c r="L9" s="18"/>
      <c r="M9" s="40"/>
      <c r="N9" s="41"/>
    </row>
    <row r="10" spans="1:14" ht="18" customHeight="1">
      <c r="A10" s="4"/>
      <c r="B10" s="29"/>
      <c r="C10" s="23"/>
      <c r="D10" s="23"/>
      <c r="E10" s="23"/>
      <c r="F10" s="23"/>
      <c r="G10" s="23"/>
      <c r="H10" s="23"/>
      <c r="I10" s="23"/>
      <c r="J10" s="24"/>
      <c r="K10" s="65"/>
      <c r="L10" s="16"/>
      <c r="M10" s="42"/>
      <c r="N10" s="43"/>
    </row>
    <row r="11" spans="1:14" ht="18" customHeight="1">
      <c r="A11" s="4"/>
      <c r="B11" s="33" t="s">
        <v>1</v>
      </c>
      <c r="C11" s="34"/>
      <c r="D11" s="34"/>
      <c r="E11" s="34"/>
      <c r="F11" s="34"/>
      <c r="G11" s="34"/>
      <c r="H11" s="34"/>
      <c r="I11" s="34"/>
      <c r="J11" s="35"/>
      <c r="K11" s="66"/>
      <c r="L11" s="17"/>
      <c r="M11" s="36"/>
      <c r="N11" s="37"/>
    </row>
    <row r="12" spans="1:14" ht="18" customHeight="1">
      <c r="A12" s="4"/>
      <c r="B12" s="33"/>
      <c r="C12" s="34"/>
      <c r="D12" s="34"/>
      <c r="E12" s="34"/>
      <c r="F12" s="34"/>
      <c r="G12" s="34"/>
      <c r="H12" s="34"/>
      <c r="I12" s="34"/>
      <c r="J12" s="35"/>
      <c r="K12" s="66"/>
      <c r="L12" s="17"/>
      <c r="M12" s="36"/>
      <c r="N12" s="37"/>
    </row>
    <row r="13" spans="2:14" ht="18" customHeight="1">
      <c r="B13" s="3" t="s">
        <v>2</v>
      </c>
      <c r="C13" s="67" t="s">
        <v>3</v>
      </c>
      <c r="D13" s="69"/>
      <c r="E13" s="67" t="s">
        <v>4</v>
      </c>
      <c r="F13" s="69"/>
      <c r="G13" s="67" t="s">
        <v>5</v>
      </c>
      <c r="H13" s="69"/>
      <c r="I13" s="67" t="s">
        <v>6</v>
      </c>
      <c r="J13" s="68"/>
      <c r="K13" s="11"/>
      <c r="L13" s="17"/>
      <c r="M13" s="36"/>
      <c r="N13" s="37"/>
    </row>
    <row r="14" spans="2:14" ht="18" customHeight="1">
      <c r="B14" s="8"/>
      <c r="C14" s="44"/>
      <c r="D14" s="45"/>
      <c r="E14" s="44"/>
      <c r="F14" s="45"/>
      <c r="G14" s="44"/>
      <c r="H14" s="45"/>
      <c r="I14" s="44"/>
      <c r="J14" s="59"/>
      <c r="K14" s="11"/>
      <c r="L14" s="17"/>
      <c r="M14" s="36"/>
      <c r="N14" s="37"/>
    </row>
    <row r="15" spans="2:14" ht="18" customHeight="1">
      <c r="B15" s="6"/>
      <c r="C15" s="46"/>
      <c r="D15" s="47"/>
      <c r="E15" s="46"/>
      <c r="F15" s="47"/>
      <c r="G15" s="46"/>
      <c r="H15" s="47"/>
      <c r="I15" s="57"/>
      <c r="J15" s="58"/>
      <c r="K15" s="13"/>
      <c r="L15" s="19"/>
      <c r="M15" s="40"/>
      <c r="N15" s="41"/>
    </row>
    <row r="16" spans="2:14" ht="18" customHeight="1">
      <c r="B16" s="8"/>
      <c r="C16" s="44"/>
      <c r="D16" s="45"/>
      <c r="E16" s="44"/>
      <c r="F16" s="45"/>
      <c r="G16" s="44"/>
      <c r="H16" s="45"/>
      <c r="I16" s="53"/>
      <c r="J16" s="54"/>
      <c r="K16" s="65"/>
      <c r="L16" s="16"/>
      <c r="M16" s="42"/>
      <c r="N16" s="43"/>
    </row>
    <row r="17" spans="2:14" ht="18" customHeight="1">
      <c r="B17" s="6"/>
      <c r="C17" s="46"/>
      <c r="D17" s="47"/>
      <c r="E17" s="46"/>
      <c r="F17" s="47"/>
      <c r="G17" s="46"/>
      <c r="H17" s="47"/>
      <c r="I17" s="57"/>
      <c r="J17" s="58"/>
      <c r="K17" s="66"/>
      <c r="L17" s="17"/>
      <c r="M17" s="36"/>
      <c r="N17" s="37"/>
    </row>
    <row r="18" spans="2:14" ht="18" customHeight="1">
      <c r="B18" s="9"/>
      <c r="C18" s="62"/>
      <c r="D18" s="63"/>
      <c r="E18" s="62"/>
      <c r="F18" s="63"/>
      <c r="G18" s="62"/>
      <c r="H18" s="63"/>
      <c r="I18" s="62"/>
      <c r="J18" s="64"/>
      <c r="K18" s="66"/>
      <c r="L18" s="17"/>
      <c r="M18" s="36"/>
      <c r="N18" s="37"/>
    </row>
    <row r="19" spans="2:14" ht="18" customHeight="1">
      <c r="B19" s="6"/>
      <c r="C19" s="46"/>
      <c r="D19" s="47"/>
      <c r="E19" s="46"/>
      <c r="F19" s="47"/>
      <c r="G19" s="46"/>
      <c r="H19" s="47"/>
      <c r="I19" s="57"/>
      <c r="J19" s="58"/>
      <c r="K19" s="11"/>
      <c r="L19" s="17"/>
      <c r="M19" s="36"/>
      <c r="N19" s="37"/>
    </row>
    <row r="20" spans="2:14" ht="18" customHeight="1">
      <c r="B20" s="8"/>
      <c r="C20" s="44"/>
      <c r="D20" s="45"/>
      <c r="E20" s="44"/>
      <c r="F20" s="45"/>
      <c r="G20" s="44"/>
      <c r="H20" s="45"/>
      <c r="I20" s="44"/>
      <c r="J20" s="59"/>
      <c r="K20" s="11"/>
      <c r="L20" s="17"/>
      <c r="M20" s="36"/>
      <c r="N20" s="37"/>
    </row>
    <row r="21" spans="2:14" ht="18" customHeight="1">
      <c r="B21" s="6"/>
      <c r="C21" s="46"/>
      <c r="D21" s="47"/>
      <c r="E21" s="46"/>
      <c r="F21" s="47"/>
      <c r="G21" s="46"/>
      <c r="H21" s="47"/>
      <c r="I21" s="60"/>
      <c r="J21" s="61"/>
      <c r="K21" s="13"/>
      <c r="L21" s="19"/>
      <c r="M21" s="40"/>
      <c r="N21" s="41"/>
    </row>
    <row r="22" spans="2:14" ht="18" customHeight="1">
      <c r="B22" s="8"/>
      <c r="C22" s="44"/>
      <c r="D22" s="45"/>
      <c r="E22" s="44"/>
      <c r="F22" s="45"/>
      <c r="G22" s="44"/>
      <c r="H22" s="45"/>
      <c r="I22" s="44"/>
      <c r="J22" s="59"/>
      <c r="K22" s="65"/>
      <c r="L22" s="16"/>
      <c r="M22" s="42"/>
      <c r="N22" s="43"/>
    </row>
    <row r="23" spans="2:14" ht="18" customHeight="1">
      <c r="B23" s="6"/>
      <c r="C23" s="46"/>
      <c r="D23" s="47"/>
      <c r="E23" s="46"/>
      <c r="F23" s="47"/>
      <c r="G23" s="46"/>
      <c r="H23" s="47"/>
      <c r="I23" s="57"/>
      <c r="J23" s="58"/>
      <c r="K23" s="66"/>
      <c r="L23" s="17"/>
      <c r="M23" s="36"/>
      <c r="N23" s="37"/>
    </row>
    <row r="24" spans="2:14" ht="18" customHeight="1">
      <c r="B24" s="8"/>
      <c r="C24" s="44"/>
      <c r="D24" s="45"/>
      <c r="E24" s="44"/>
      <c r="F24" s="45"/>
      <c r="G24" s="44"/>
      <c r="H24" s="45"/>
      <c r="I24" s="44"/>
      <c r="J24" s="59"/>
      <c r="K24" s="66"/>
      <c r="L24" s="17"/>
      <c r="M24" s="36"/>
      <c r="N24" s="37"/>
    </row>
    <row r="25" spans="2:14" ht="18" customHeight="1">
      <c r="B25" s="6"/>
      <c r="C25" s="46"/>
      <c r="D25" s="47"/>
      <c r="E25" s="46"/>
      <c r="F25" s="47"/>
      <c r="G25" s="46"/>
      <c r="H25" s="47"/>
      <c r="I25" s="57"/>
      <c r="J25" s="58"/>
      <c r="K25" s="66"/>
      <c r="L25" s="17"/>
      <c r="M25" s="36"/>
      <c r="N25" s="37"/>
    </row>
    <row r="26" spans="2:14" ht="18" customHeight="1">
      <c r="B26" s="8"/>
      <c r="C26" s="44"/>
      <c r="D26" s="45"/>
      <c r="E26" s="44"/>
      <c r="F26" s="45"/>
      <c r="G26" s="44"/>
      <c r="H26" s="45"/>
      <c r="I26" s="44"/>
      <c r="J26" s="59"/>
      <c r="K26" s="11"/>
      <c r="L26" s="17"/>
      <c r="M26" s="36"/>
      <c r="N26" s="37"/>
    </row>
    <row r="27" spans="2:14" ht="18" customHeight="1">
      <c r="B27" s="6"/>
      <c r="C27" s="46"/>
      <c r="D27" s="47"/>
      <c r="E27" s="46"/>
      <c r="F27" s="47"/>
      <c r="G27" s="46"/>
      <c r="H27" s="47"/>
      <c r="I27" s="57"/>
      <c r="J27" s="58"/>
      <c r="K27" s="13"/>
      <c r="L27" s="19"/>
      <c r="M27" s="40"/>
      <c r="N27" s="41"/>
    </row>
    <row r="28" spans="2:14" ht="18" customHeight="1">
      <c r="B28" s="8"/>
      <c r="C28" s="44"/>
      <c r="D28" s="45"/>
      <c r="E28" s="44"/>
      <c r="F28" s="45"/>
      <c r="G28" s="44"/>
      <c r="H28" s="45"/>
      <c r="I28" s="44"/>
      <c r="J28" s="59"/>
      <c r="K28" s="65"/>
      <c r="L28" s="16"/>
      <c r="M28" s="42"/>
      <c r="N28" s="43"/>
    </row>
    <row r="29" spans="2:14" ht="18" customHeight="1">
      <c r="B29" s="6"/>
      <c r="C29" s="46"/>
      <c r="D29" s="47"/>
      <c r="E29" s="46"/>
      <c r="F29" s="47"/>
      <c r="G29" s="46"/>
      <c r="H29" s="47"/>
      <c r="I29" s="46"/>
      <c r="J29" s="52"/>
      <c r="K29" s="66"/>
      <c r="L29" s="17"/>
      <c r="M29" s="36"/>
      <c r="N29" s="37"/>
    </row>
    <row r="30" spans="2:14" ht="18" customHeight="1">
      <c r="B30" s="8"/>
      <c r="C30" s="44"/>
      <c r="D30" s="45"/>
      <c r="E30" s="44"/>
      <c r="F30" s="45"/>
      <c r="G30" s="44"/>
      <c r="H30" s="45"/>
      <c r="I30" s="50"/>
      <c r="J30" s="51"/>
      <c r="K30" s="66"/>
      <c r="L30" s="17"/>
      <c r="M30" s="36"/>
      <c r="N30" s="37"/>
    </row>
    <row r="31" spans="2:14" ht="18" customHeight="1">
      <c r="B31" s="6"/>
      <c r="C31" s="46"/>
      <c r="D31" s="47"/>
      <c r="E31" s="46"/>
      <c r="F31" s="47"/>
      <c r="G31" s="46"/>
      <c r="H31" s="47"/>
      <c r="I31" s="46"/>
      <c r="J31" s="52"/>
      <c r="K31" s="14"/>
      <c r="L31" s="17"/>
      <c r="M31" s="36"/>
      <c r="N31" s="37"/>
    </row>
    <row r="32" spans="2:14" ht="18" customHeight="1">
      <c r="B32" s="8"/>
      <c r="C32" s="44"/>
      <c r="D32" s="45"/>
      <c r="E32" s="44"/>
      <c r="F32" s="45"/>
      <c r="G32" s="44"/>
      <c r="H32" s="45"/>
      <c r="I32" s="53"/>
      <c r="J32" s="54"/>
      <c r="K32" s="14"/>
      <c r="L32" s="17"/>
      <c r="M32" s="36"/>
      <c r="N32" s="37"/>
    </row>
    <row r="33" spans="2:14" ht="18" customHeight="1">
      <c r="B33" s="7"/>
      <c r="C33" s="48"/>
      <c r="D33" s="49"/>
      <c r="E33" s="48"/>
      <c r="F33" s="49"/>
      <c r="G33" s="48"/>
      <c r="H33" s="49"/>
      <c r="I33" s="55"/>
      <c r="J33" s="56"/>
      <c r="K33" s="15"/>
      <c r="L33" s="20"/>
      <c r="M33" s="38"/>
      <c r="N33" s="39"/>
    </row>
  </sheetData>
  <sheetProtection/>
  <mergeCells count="123">
    <mergeCell ref="C13:D13"/>
    <mergeCell ref="E13:F13"/>
    <mergeCell ref="G13:H13"/>
    <mergeCell ref="I13:J13"/>
    <mergeCell ref="M13:N13"/>
    <mergeCell ref="B3:B4"/>
    <mergeCell ref="K2:M3"/>
    <mergeCell ref="K4:K6"/>
    <mergeCell ref="M4:N4"/>
    <mergeCell ref="M5:N5"/>
    <mergeCell ref="K10:K12"/>
    <mergeCell ref="N2:N3"/>
    <mergeCell ref="M10:N10"/>
    <mergeCell ref="B11:J12"/>
    <mergeCell ref="M11:N11"/>
    <mergeCell ref="M12:N12"/>
    <mergeCell ref="M6:N6"/>
    <mergeCell ref="M7:N7"/>
    <mergeCell ref="M8:N8"/>
    <mergeCell ref="M9:N9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M17:N17"/>
    <mergeCell ref="C18:D18"/>
    <mergeCell ref="E18:F18"/>
    <mergeCell ref="G18:H18"/>
    <mergeCell ref="I18:J18"/>
    <mergeCell ref="M18:N18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E24:F24"/>
    <mergeCell ref="G24:H24"/>
    <mergeCell ref="I24:J24"/>
    <mergeCell ref="M24:N24"/>
    <mergeCell ref="C25:D25"/>
    <mergeCell ref="E25:F25"/>
    <mergeCell ref="G25:H25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G27:H27"/>
    <mergeCell ref="I27:J27"/>
    <mergeCell ref="M27:N27"/>
    <mergeCell ref="M22:N22"/>
    <mergeCell ref="C23:D23"/>
    <mergeCell ref="E23:F23"/>
    <mergeCell ref="G23:H23"/>
    <mergeCell ref="I23:J23"/>
    <mergeCell ref="M23:N23"/>
    <mergeCell ref="C24:D24"/>
    <mergeCell ref="I29:J29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C32:D32"/>
    <mergeCell ref="E32:F32"/>
    <mergeCell ref="G32:H32"/>
    <mergeCell ref="I32:J32"/>
    <mergeCell ref="M32:N32"/>
    <mergeCell ref="M29:N29"/>
    <mergeCell ref="C30:D30"/>
    <mergeCell ref="E30:F30"/>
    <mergeCell ref="G30:H30"/>
    <mergeCell ref="I30:J30"/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</mergeCells>
  <conditionalFormatting sqref="C4:H4">
    <cfRule type="expression" priority="3" dxfId="2" stopIfTrue="1">
      <formula>DAY(C4)&gt;8</formula>
    </cfRule>
  </conditionalFormatting>
  <conditionalFormatting sqref="C8:I10">
    <cfRule type="expression" priority="2" dxfId="2" stopIfTrue="1">
      <formula>AND(DAY(C8)&gt;=1,DAY(C8)&lt;=15)</formula>
    </cfRule>
  </conditionalFormatting>
  <conditionalFormatting sqref="C4:I9">
    <cfRule type="expression" priority="4" dxfId="1">
      <formula>VLOOKUP(DAY(C4),КоличествоДней,1,FALSE)=DAY(C4)</formula>
    </cfRule>
  </conditionalFormatting>
  <conditionalFormatting sqref="B14:J33">
    <cfRule type="expression" priority="1" dxfId="0">
      <formula>B14&lt;&gt;""</formula>
    </cfRule>
  </conditionalFormatting>
  <printOptions horizontalCentered="1" verticalCentered="1"/>
  <pageMargins left="0.5" right="0.5" top="0.5" bottom="0.5" header="0.3" footer="0.3"/>
  <pageSetup fitToHeight="1" fitToWidth="1" horizontalDpi="600" verticalDpi="600" orientation="landscape" paperSize="9" scale="8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2:N33"/>
  <sheetViews>
    <sheetView showGridLines="0" zoomScalePageLayoutView="84" workbookViewId="0" topLeftCell="A1">
      <selection activeCell="N2" sqref="N2:N3"/>
    </sheetView>
  </sheetViews>
  <sheetFormatPr defaultColWidth="8.7109375" defaultRowHeight="16.5" customHeight="1"/>
  <cols>
    <col min="1" max="1" width="2.28125" style="1" customWidth="1"/>
    <col min="2" max="2" width="17.57421875" style="1" customWidth="1"/>
    <col min="3" max="10" width="9.140625" style="1" customWidth="1"/>
    <col min="11" max="11" width="7.28125" style="1" customWidth="1"/>
    <col min="12" max="12" width="3.8515625" style="0" customWidth="1"/>
    <col min="13" max="13" width="51.421875" style="1" customWidth="1"/>
    <col min="14" max="14" width="10.7109375" style="1" customWidth="1"/>
    <col min="15" max="15" width="2.28125" style="0" customWidth="1"/>
    <col min="16" max="16384" width="8.7109375" style="1" customWidth="1"/>
  </cols>
  <sheetData>
    <row r="1" ht="11.25" customHeight="1"/>
    <row r="2" spans="1:14" ht="18" customHeight="1">
      <c r="A2" s="4"/>
      <c r="B2" s="30"/>
      <c r="C2" s="21"/>
      <c r="D2" s="21"/>
      <c r="E2" s="21"/>
      <c r="F2" s="21"/>
      <c r="G2" s="21"/>
      <c r="H2" s="21"/>
      <c r="I2" s="21"/>
      <c r="J2" s="22"/>
      <c r="K2" s="70" t="s">
        <v>20</v>
      </c>
      <c r="L2" s="71">
        <v>2013</v>
      </c>
      <c r="M2" s="71"/>
      <c r="N2" s="79">
        <f>КалендарныйГод</f>
        <v>2019</v>
      </c>
    </row>
    <row r="3" spans="1:14" ht="21" customHeight="1">
      <c r="A3" s="4"/>
      <c r="B3" s="31" t="s">
        <v>17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19</v>
      </c>
      <c r="J3" s="5"/>
      <c r="K3" s="72"/>
      <c r="L3" s="73"/>
      <c r="M3" s="73"/>
      <c r="N3" s="80"/>
    </row>
    <row r="4" spans="1:14" ht="18" customHeight="1">
      <c r="A4" s="4"/>
      <c r="B4" s="31"/>
      <c r="C4" s="10">
        <f>IF(DAY(АвгВс1)=1,АвгВс1-6,АвгВс1+1)</f>
        <v>43675</v>
      </c>
      <c r="D4" s="10">
        <f>IF(DAY(АвгВс1)=1,АвгВс1-5,АвгВс1+2)</f>
        <v>43676</v>
      </c>
      <c r="E4" s="10">
        <f>IF(DAY(АвгВс1)=1,АвгВс1-4,АвгВс1+3)</f>
        <v>43677</v>
      </c>
      <c r="F4" s="10">
        <f>IF(DAY(АвгВс1)=1,АвгВс1-3,АвгВс1+4)</f>
        <v>43678</v>
      </c>
      <c r="G4" s="10">
        <f>IF(DAY(АвгВс1)=1,АвгВс1-2,АвгВс1+5)</f>
        <v>43679</v>
      </c>
      <c r="H4" s="10">
        <f>IF(DAY(АвгВс1)=1,АвгВс1-1,АвгВс1+6)</f>
        <v>43680</v>
      </c>
      <c r="I4" s="10">
        <f>IF(DAY(АвгВс1)=1,АвгВс1,АвгВс1+7)</f>
        <v>43681</v>
      </c>
      <c r="J4" s="5"/>
      <c r="K4" s="74"/>
      <c r="L4" s="16"/>
      <c r="M4" s="75"/>
      <c r="N4" s="76"/>
    </row>
    <row r="5" spans="1:14" ht="18" customHeight="1">
      <c r="A5" s="4"/>
      <c r="B5" s="28"/>
      <c r="C5" s="10">
        <f>IF(DAY(АвгВс1)=1,АвгВс1+1,АвгВс1+8)</f>
        <v>43682</v>
      </c>
      <c r="D5" s="10">
        <f>IF(DAY(АвгВс1)=1,АвгВс1+2,АвгВс1+9)</f>
        <v>43683</v>
      </c>
      <c r="E5" s="10">
        <f>IF(DAY(АвгВс1)=1,АвгВс1+3,АвгВс1+10)</f>
        <v>43684</v>
      </c>
      <c r="F5" s="10">
        <f>IF(DAY(АвгВс1)=1,АвгВс1+4,АвгВс1+11)</f>
        <v>43685</v>
      </c>
      <c r="G5" s="10">
        <f>IF(DAY(АвгВс1)=1,АвгВс1+5,АвгВс1+12)</f>
        <v>43686</v>
      </c>
      <c r="H5" s="10">
        <f>IF(DAY(АвгВс1)=1,АвгВс1+6,АвгВс1+13)</f>
        <v>43687</v>
      </c>
      <c r="I5" s="10">
        <f>IF(DAY(АвгВс1)=1,АвгВс1+7,АвгВс1+14)</f>
        <v>43688</v>
      </c>
      <c r="J5" s="5"/>
      <c r="K5" s="66"/>
      <c r="L5" s="17"/>
      <c r="M5" s="36"/>
      <c r="N5" s="37"/>
    </row>
    <row r="6" spans="1:14" ht="18" customHeight="1">
      <c r="A6" s="4"/>
      <c r="B6" s="28"/>
      <c r="C6" s="10">
        <f>IF(DAY(АвгВс1)=1,АвгВс1+8,АвгВс1+15)</f>
        <v>43689</v>
      </c>
      <c r="D6" s="10">
        <f>IF(DAY(АвгВс1)=1,АвгВс1+9,АвгВс1+16)</f>
        <v>43690</v>
      </c>
      <c r="E6" s="10">
        <f>IF(DAY(АвгВс1)=1,АвгВс1+10,АвгВс1+17)</f>
        <v>43691</v>
      </c>
      <c r="F6" s="10">
        <f>IF(DAY(АвгВс1)=1,АвгВс1+11,АвгВс1+18)</f>
        <v>43692</v>
      </c>
      <c r="G6" s="10">
        <f>IF(DAY(АвгВс1)=1,АвгВс1+12,АвгВс1+19)</f>
        <v>43693</v>
      </c>
      <c r="H6" s="10">
        <f>IF(DAY(АвгВс1)=1,АвгВс1+13,АвгВс1+20)</f>
        <v>43694</v>
      </c>
      <c r="I6" s="10">
        <f>IF(DAY(АвгВс1)=1,АвгВс1+14,АвгВс1+21)</f>
        <v>43695</v>
      </c>
      <c r="J6" s="5"/>
      <c r="K6" s="66"/>
      <c r="L6" s="17"/>
      <c r="M6" s="36"/>
      <c r="N6" s="37"/>
    </row>
    <row r="7" spans="1:14" ht="18" customHeight="1">
      <c r="A7" s="4"/>
      <c r="B7" s="28"/>
      <c r="C7" s="10">
        <f>IF(DAY(АвгВс1)=1,АвгВс1+15,АвгВс1+22)</f>
        <v>43696</v>
      </c>
      <c r="D7" s="10">
        <f>IF(DAY(АвгВс1)=1,АвгВс1+16,АвгВс1+23)</f>
        <v>43697</v>
      </c>
      <c r="E7" s="10">
        <f>IF(DAY(АвгВс1)=1,АвгВс1+17,АвгВс1+24)</f>
        <v>43698</v>
      </c>
      <c r="F7" s="10">
        <f>IF(DAY(АвгВс1)=1,АвгВс1+18,АвгВс1+25)</f>
        <v>43699</v>
      </c>
      <c r="G7" s="10">
        <f>IF(DAY(АвгВс1)=1,АвгВс1+19,АвгВс1+26)</f>
        <v>43700</v>
      </c>
      <c r="H7" s="10">
        <f>IF(DAY(АвгВс1)=1,АвгВс1+20,АвгВс1+27)</f>
        <v>43701</v>
      </c>
      <c r="I7" s="10">
        <f>IF(DAY(АвгВс1)=1,АвгВс1+21,АвгВс1+28)</f>
        <v>43702</v>
      </c>
      <c r="J7" s="5"/>
      <c r="K7" s="11"/>
      <c r="L7" s="17"/>
      <c r="M7" s="36"/>
      <c r="N7" s="37"/>
    </row>
    <row r="8" spans="1:14" ht="18.75" customHeight="1">
      <c r="A8" s="4"/>
      <c r="B8" s="28"/>
      <c r="C8" s="10">
        <f>IF(DAY(АвгВс1)=1,АвгВс1+22,АвгВс1+29)</f>
        <v>43703</v>
      </c>
      <c r="D8" s="10">
        <f>IF(DAY(АвгВс1)=1,АвгВс1+23,АвгВс1+30)</f>
        <v>43704</v>
      </c>
      <c r="E8" s="10">
        <f>IF(DAY(АвгВс1)=1,АвгВс1+24,АвгВс1+31)</f>
        <v>43705</v>
      </c>
      <c r="F8" s="10">
        <f>IF(DAY(АвгВс1)=1,АвгВс1+25,АвгВс1+32)</f>
        <v>43706</v>
      </c>
      <c r="G8" s="10">
        <f>IF(DAY(АвгВс1)=1,АвгВс1+26,АвгВс1+33)</f>
        <v>43707</v>
      </c>
      <c r="H8" s="10">
        <f>IF(DAY(АвгВс1)=1,АвгВс1+27,АвгВс1+34)</f>
        <v>43708</v>
      </c>
      <c r="I8" s="10">
        <f>IF(DAY(АвгВс1)=1,АвгВс1+28,АвгВс1+35)</f>
        <v>43709</v>
      </c>
      <c r="J8" s="5"/>
      <c r="K8" s="11"/>
      <c r="L8" s="17"/>
      <c r="M8" s="36"/>
      <c r="N8" s="37"/>
    </row>
    <row r="9" spans="1:14" ht="18" customHeight="1">
      <c r="A9" s="4"/>
      <c r="B9" s="28"/>
      <c r="C9" s="10">
        <f>IF(DAY(АвгВс1)=1,АвгВс1+29,АвгВс1+36)</f>
        <v>43710</v>
      </c>
      <c r="D9" s="10">
        <f>IF(DAY(АвгВс1)=1,АвгВс1+30,АвгВс1+37)</f>
        <v>43711</v>
      </c>
      <c r="E9" s="10">
        <f>IF(DAY(АвгВс1)=1,АвгВс1+31,АвгВс1+38)</f>
        <v>43712</v>
      </c>
      <c r="F9" s="10">
        <f>IF(DAY(АвгВс1)=1,АвгВс1+32,АвгВс1+39)</f>
        <v>43713</v>
      </c>
      <c r="G9" s="10">
        <f>IF(DAY(АвгВс1)=1,АвгВс1+33,АвгВс1+40)</f>
        <v>43714</v>
      </c>
      <c r="H9" s="10">
        <f>IF(DAY(АвгВс1)=1,АвгВс1+34,АвгВс1+41)</f>
        <v>43715</v>
      </c>
      <c r="I9" s="10">
        <f>IF(DAY(АвгВс1)=1,АвгВс1+35,АвгВс1+42)</f>
        <v>43716</v>
      </c>
      <c r="J9" s="5"/>
      <c r="K9" s="12"/>
      <c r="L9" s="18"/>
      <c r="M9" s="40"/>
      <c r="N9" s="41"/>
    </row>
    <row r="10" spans="1:14" ht="18" customHeight="1">
      <c r="A10" s="4"/>
      <c r="B10" s="29"/>
      <c r="C10" s="23"/>
      <c r="D10" s="23"/>
      <c r="E10" s="23"/>
      <c r="F10" s="23"/>
      <c r="G10" s="23"/>
      <c r="H10" s="23"/>
      <c r="I10" s="23"/>
      <c r="J10" s="24"/>
      <c r="K10" s="65"/>
      <c r="L10" s="16"/>
      <c r="M10" s="42"/>
      <c r="N10" s="43"/>
    </row>
    <row r="11" spans="1:14" ht="18" customHeight="1">
      <c r="A11" s="4"/>
      <c r="B11" s="33" t="s">
        <v>1</v>
      </c>
      <c r="C11" s="34"/>
      <c r="D11" s="34"/>
      <c r="E11" s="34"/>
      <c r="F11" s="34"/>
      <c r="G11" s="34"/>
      <c r="H11" s="34"/>
      <c r="I11" s="34"/>
      <c r="J11" s="35"/>
      <c r="K11" s="66"/>
      <c r="L11" s="17"/>
      <c r="M11" s="36"/>
      <c r="N11" s="37"/>
    </row>
    <row r="12" spans="1:14" ht="18" customHeight="1">
      <c r="A12" s="4"/>
      <c r="B12" s="33"/>
      <c r="C12" s="34"/>
      <c r="D12" s="34"/>
      <c r="E12" s="34"/>
      <c r="F12" s="34"/>
      <c r="G12" s="34"/>
      <c r="H12" s="34"/>
      <c r="I12" s="34"/>
      <c r="J12" s="35"/>
      <c r="K12" s="66"/>
      <c r="L12" s="17"/>
      <c r="M12" s="36"/>
      <c r="N12" s="37"/>
    </row>
    <row r="13" spans="2:14" ht="18" customHeight="1">
      <c r="B13" s="3" t="s">
        <v>2</v>
      </c>
      <c r="C13" s="67" t="s">
        <v>3</v>
      </c>
      <c r="D13" s="69"/>
      <c r="E13" s="67" t="s">
        <v>4</v>
      </c>
      <c r="F13" s="69"/>
      <c r="G13" s="67" t="s">
        <v>5</v>
      </c>
      <c r="H13" s="69"/>
      <c r="I13" s="67" t="s">
        <v>6</v>
      </c>
      <c r="J13" s="68"/>
      <c r="K13" s="11"/>
      <c r="L13" s="17"/>
      <c r="M13" s="36"/>
      <c r="N13" s="37"/>
    </row>
    <row r="14" spans="2:14" ht="18" customHeight="1">
      <c r="B14" s="8"/>
      <c r="C14" s="44"/>
      <c r="D14" s="45"/>
      <c r="E14" s="44"/>
      <c r="F14" s="45"/>
      <c r="G14" s="44"/>
      <c r="H14" s="45"/>
      <c r="I14" s="44"/>
      <c r="J14" s="59"/>
      <c r="K14" s="11"/>
      <c r="L14" s="17"/>
      <c r="M14" s="36"/>
      <c r="N14" s="37"/>
    </row>
    <row r="15" spans="2:14" ht="18" customHeight="1">
      <c r="B15" s="6"/>
      <c r="C15" s="46"/>
      <c r="D15" s="47"/>
      <c r="E15" s="46"/>
      <c r="F15" s="47"/>
      <c r="G15" s="46"/>
      <c r="H15" s="47"/>
      <c r="I15" s="57"/>
      <c r="J15" s="58"/>
      <c r="K15" s="13"/>
      <c r="L15" s="19"/>
      <c r="M15" s="40"/>
      <c r="N15" s="41"/>
    </row>
    <row r="16" spans="2:14" ht="18" customHeight="1">
      <c r="B16" s="8"/>
      <c r="C16" s="44"/>
      <c r="D16" s="45"/>
      <c r="E16" s="44"/>
      <c r="F16" s="45"/>
      <c r="G16" s="44"/>
      <c r="H16" s="45"/>
      <c r="I16" s="53"/>
      <c r="J16" s="54"/>
      <c r="K16" s="65"/>
      <c r="L16" s="16"/>
      <c r="M16" s="42"/>
      <c r="N16" s="43"/>
    </row>
    <row r="17" spans="2:14" ht="18" customHeight="1">
      <c r="B17" s="6"/>
      <c r="C17" s="46"/>
      <c r="D17" s="47"/>
      <c r="E17" s="46"/>
      <c r="F17" s="47"/>
      <c r="G17" s="46"/>
      <c r="H17" s="47"/>
      <c r="I17" s="57"/>
      <c r="J17" s="58"/>
      <c r="K17" s="66"/>
      <c r="L17" s="17"/>
      <c r="M17" s="36"/>
      <c r="N17" s="37"/>
    </row>
    <row r="18" spans="2:14" ht="18" customHeight="1">
      <c r="B18" s="9"/>
      <c r="C18" s="62"/>
      <c r="D18" s="63"/>
      <c r="E18" s="62"/>
      <c r="F18" s="63"/>
      <c r="G18" s="62"/>
      <c r="H18" s="63"/>
      <c r="I18" s="62"/>
      <c r="J18" s="64"/>
      <c r="K18" s="66"/>
      <c r="L18" s="17"/>
      <c r="M18" s="36"/>
      <c r="N18" s="37"/>
    </row>
    <row r="19" spans="2:14" ht="18" customHeight="1">
      <c r="B19" s="6"/>
      <c r="C19" s="46"/>
      <c r="D19" s="47"/>
      <c r="E19" s="46"/>
      <c r="F19" s="47"/>
      <c r="G19" s="46"/>
      <c r="H19" s="47"/>
      <c r="I19" s="57"/>
      <c r="J19" s="58"/>
      <c r="K19" s="11"/>
      <c r="L19" s="17"/>
      <c r="M19" s="36"/>
      <c r="N19" s="37"/>
    </row>
    <row r="20" spans="2:14" ht="18" customHeight="1">
      <c r="B20" s="8"/>
      <c r="C20" s="44"/>
      <c r="D20" s="45"/>
      <c r="E20" s="44"/>
      <c r="F20" s="45"/>
      <c r="G20" s="44"/>
      <c r="H20" s="45"/>
      <c r="I20" s="44"/>
      <c r="J20" s="59"/>
      <c r="K20" s="11"/>
      <c r="L20" s="17"/>
      <c r="M20" s="36"/>
      <c r="N20" s="37"/>
    </row>
    <row r="21" spans="2:14" ht="18" customHeight="1">
      <c r="B21" s="6"/>
      <c r="C21" s="46"/>
      <c r="D21" s="47"/>
      <c r="E21" s="46"/>
      <c r="F21" s="47"/>
      <c r="G21" s="46"/>
      <c r="H21" s="47"/>
      <c r="I21" s="60"/>
      <c r="J21" s="61"/>
      <c r="K21" s="13"/>
      <c r="L21" s="19"/>
      <c r="M21" s="40"/>
      <c r="N21" s="41"/>
    </row>
    <row r="22" spans="2:14" ht="18" customHeight="1">
      <c r="B22" s="8"/>
      <c r="C22" s="44"/>
      <c r="D22" s="45"/>
      <c r="E22" s="44"/>
      <c r="F22" s="45"/>
      <c r="G22" s="44"/>
      <c r="H22" s="45"/>
      <c r="I22" s="44"/>
      <c r="J22" s="59"/>
      <c r="K22" s="65"/>
      <c r="L22" s="16"/>
      <c r="M22" s="42"/>
      <c r="N22" s="43"/>
    </row>
    <row r="23" spans="2:14" ht="18" customHeight="1">
      <c r="B23" s="6"/>
      <c r="C23" s="46"/>
      <c r="D23" s="47"/>
      <c r="E23" s="46"/>
      <c r="F23" s="47"/>
      <c r="G23" s="46"/>
      <c r="H23" s="47"/>
      <c r="I23" s="57"/>
      <c r="J23" s="58"/>
      <c r="K23" s="66"/>
      <c r="L23" s="17"/>
      <c r="M23" s="36"/>
      <c r="N23" s="37"/>
    </row>
    <row r="24" spans="2:14" ht="18" customHeight="1">
      <c r="B24" s="8"/>
      <c r="C24" s="44"/>
      <c r="D24" s="45"/>
      <c r="E24" s="44"/>
      <c r="F24" s="45"/>
      <c r="G24" s="44"/>
      <c r="H24" s="45"/>
      <c r="I24" s="44"/>
      <c r="J24" s="59"/>
      <c r="K24" s="66"/>
      <c r="L24" s="17"/>
      <c r="M24" s="36"/>
      <c r="N24" s="37"/>
    </row>
    <row r="25" spans="2:14" ht="18" customHeight="1">
      <c r="B25" s="6"/>
      <c r="C25" s="46"/>
      <c r="D25" s="47"/>
      <c r="E25" s="46"/>
      <c r="F25" s="47"/>
      <c r="G25" s="46"/>
      <c r="H25" s="47"/>
      <c r="I25" s="57"/>
      <c r="J25" s="58"/>
      <c r="K25" s="66"/>
      <c r="L25" s="17"/>
      <c r="M25" s="36"/>
      <c r="N25" s="37"/>
    </row>
    <row r="26" spans="2:14" ht="18" customHeight="1">
      <c r="B26" s="8"/>
      <c r="C26" s="44"/>
      <c r="D26" s="45"/>
      <c r="E26" s="44"/>
      <c r="F26" s="45"/>
      <c r="G26" s="44"/>
      <c r="H26" s="45"/>
      <c r="I26" s="44"/>
      <c r="J26" s="59"/>
      <c r="K26" s="11"/>
      <c r="L26" s="17"/>
      <c r="M26" s="36"/>
      <c r="N26" s="37"/>
    </row>
    <row r="27" spans="2:14" ht="18" customHeight="1">
      <c r="B27" s="6"/>
      <c r="C27" s="46"/>
      <c r="D27" s="47"/>
      <c r="E27" s="46"/>
      <c r="F27" s="47"/>
      <c r="G27" s="46"/>
      <c r="H27" s="47"/>
      <c r="I27" s="57"/>
      <c r="J27" s="58"/>
      <c r="K27" s="13"/>
      <c r="L27" s="19"/>
      <c r="M27" s="40"/>
      <c r="N27" s="41"/>
    </row>
    <row r="28" spans="2:14" ht="18" customHeight="1">
      <c r="B28" s="8"/>
      <c r="C28" s="44"/>
      <c r="D28" s="45"/>
      <c r="E28" s="44"/>
      <c r="F28" s="45"/>
      <c r="G28" s="44"/>
      <c r="H28" s="45"/>
      <c r="I28" s="44"/>
      <c r="J28" s="59"/>
      <c r="K28" s="65"/>
      <c r="L28" s="16"/>
      <c r="M28" s="42"/>
      <c r="N28" s="43"/>
    </row>
    <row r="29" spans="2:14" ht="18" customHeight="1">
      <c r="B29" s="6"/>
      <c r="C29" s="46"/>
      <c r="D29" s="47"/>
      <c r="E29" s="46"/>
      <c r="F29" s="47"/>
      <c r="G29" s="46"/>
      <c r="H29" s="47"/>
      <c r="I29" s="46"/>
      <c r="J29" s="52"/>
      <c r="K29" s="66"/>
      <c r="L29" s="17"/>
      <c r="M29" s="36"/>
      <c r="N29" s="37"/>
    </row>
    <row r="30" spans="2:14" ht="18" customHeight="1">
      <c r="B30" s="8"/>
      <c r="C30" s="44"/>
      <c r="D30" s="45"/>
      <c r="E30" s="44"/>
      <c r="F30" s="45"/>
      <c r="G30" s="44"/>
      <c r="H30" s="45"/>
      <c r="I30" s="50"/>
      <c r="J30" s="51"/>
      <c r="K30" s="66"/>
      <c r="L30" s="17"/>
      <c r="M30" s="36"/>
      <c r="N30" s="37"/>
    </row>
    <row r="31" spans="2:14" ht="18" customHeight="1">
      <c r="B31" s="6"/>
      <c r="C31" s="46"/>
      <c r="D31" s="47"/>
      <c r="E31" s="46"/>
      <c r="F31" s="47"/>
      <c r="G31" s="46"/>
      <c r="H31" s="47"/>
      <c r="I31" s="46"/>
      <c r="J31" s="52"/>
      <c r="K31" s="14"/>
      <c r="L31" s="17"/>
      <c r="M31" s="36"/>
      <c r="N31" s="37"/>
    </row>
    <row r="32" spans="2:14" ht="18" customHeight="1">
      <c r="B32" s="8"/>
      <c r="C32" s="44"/>
      <c r="D32" s="45"/>
      <c r="E32" s="44"/>
      <c r="F32" s="45"/>
      <c r="G32" s="44"/>
      <c r="H32" s="45"/>
      <c r="I32" s="53"/>
      <c r="J32" s="54"/>
      <c r="K32" s="14"/>
      <c r="L32" s="17"/>
      <c r="M32" s="36"/>
      <c r="N32" s="37"/>
    </row>
    <row r="33" spans="2:14" ht="18" customHeight="1">
      <c r="B33" s="7"/>
      <c r="C33" s="48"/>
      <c r="D33" s="49"/>
      <c r="E33" s="48"/>
      <c r="F33" s="49"/>
      <c r="G33" s="48"/>
      <c r="H33" s="49"/>
      <c r="I33" s="55"/>
      <c r="J33" s="56"/>
      <c r="K33" s="15"/>
      <c r="L33" s="20"/>
      <c r="M33" s="38"/>
      <c r="N33" s="39"/>
    </row>
  </sheetData>
  <sheetProtection/>
  <mergeCells count="123">
    <mergeCell ref="C13:D13"/>
    <mergeCell ref="E13:F13"/>
    <mergeCell ref="G13:H13"/>
    <mergeCell ref="I13:J13"/>
    <mergeCell ref="M13:N13"/>
    <mergeCell ref="B3:B4"/>
    <mergeCell ref="K2:M3"/>
    <mergeCell ref="K4:K6"/>
    <mergeCell ref="M4:N4"/>
    <mergeCell ref="M5:N5"/>
    <mergeCell ref="K10:K12"/>
    <mergeCell ref="N2:N3"/>
    <mergeCell ref="M10:N10"/>
    <mergeCell ref="B11:J12"/>
    <mergeCell ref="M11:N11"/>
    <mergeCell ref="M12:N12"/>
    <mergeCell ref="M6:N6"/>
    <mergeCell ref="M7:N7"/>
    <mergeCell ref="M8:N8"/>
    <mergeCell ref="M9:N9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M17:N17"/>
    <mergeCell ref="C18:D18"/>
    <mergeCell ref="E18:F18"/>
    <mergeCell ref="G18:H18"/>
    <mergeCell ref="I18:J18"/>
    <mergeCell ref="M18:N18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E24:F24"/>
    <mergeCell ref="G24:H24"/>
    <mergeCell ref="I24:J24"/>
    <mergeCell ref="M24:N24"/>
    <mergeCell ref="C25:D25"/>
    <mergeCell ref="E25:F25"/>
    <mergeCell ref="G25:H25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G27:H27"/>
    <mergeCell ref="I27:J27"/>
    <mergeCell ref="M27:N27"/>
    <mergeCell ref="M22:N22"/>
    <mergeCell ref="C23:D23"/>
    <mergeCell ref="E23:F23"/>
    <mergeCell ref="G23:H23"/>
    <mergeCell ref="I23:J23"/>
    <mergeCell ref="M23:N23"/>
    <mergeCell ref="C24:D24"/>
    <mergeCell ref="I29:J29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C32:D32"/>
    <mergeCell ref="E32:F32"/>
    <mergeCell ref="G32:H32"/>
    <mergeCell ref="I32:J32"/>
    <mergeCell ref="M32:N32"/>
    <mergeCell ref="M29:N29"/>
    <mergeCell ref="C30:D30"/>
    <mergeCell ref="E30:F30"/>
    <mergeCell ref="G30:H30"/>
    <mergeCell ref="I30:J30"/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</mergeCells>
  <conditionalFormatting sqref="C4:H4">
    <cfRule type="expression" priority="3" dxfId="2" stopIfTrue="1">
      <formula>DAY(C4)&gt;8</formula>
    </cfRule>
  </conditionalFormatting>
  <conditionalFormatting sqref="C8:I10">
    <cfRule type="expression" priority="2" dxfId="2" stopIfTrue="1">
      <formula>AND(DAY(C8)&gt;=1,DAY(C8)&lt;=15)</formula>
    </cfRule>
  </conditionalFormatting>
  <conditionalFormatting sqref="C4:I9">
    <cfRule type="expression" priority="4" dxfId="1">
      <formula>VLOOKUP(DAY(C4),КоличествоДней,1,FALSE)=DAY(C4)</formula>
    </cfRule>
  </conditionalFormatting>
  <conditionalFormatting sqref="B14:J33">
    <cfRule type="expression" priority="1" dxfId="0">
      <formula>B14&lt;&gt;""</formula>
    </cfRule>
  </conditionalFormatting>
  <printOptions horizontalCentered="1" verticalCentered="1"/>
  <pageMargins left="0.5" right="0.5" top="0.5" bottom="0.5" header="0.3" footer="0.3"/>
  <pageSetup fitToHeight="1" fitToWidth="1" horizontalDpi="600" verticalDpi="600" orientation="landscape" paperSize="9" scale="9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2:N33"/>
  <sheetViews>
    <sheetView showGridLines="0" zoomScalePageLayoutView="84" workbookViewId="0" topLeftCell="A1">
      <selection activeCell="N2" sqref="N2:N3"/>
    </sheetView>
  </sheetViews>
  <sheetFormatPr defaultColWidth="8.7109375" defaultRowHeight="16.5" customHeight="1"/>
  <cols>
    <col min="1" max="1" width="2.28125" style="1" customWidth="1"/>
    <col min="2" max="2" width="17.57421875" style="1" customWidth="1"/>
    <col min="3" max="10" width="9.140625" style="1" customWidth="1"/>
    <col min="11" max="11" width="7.28125" style="1" customWidth="1"/>
    <col min="12" max="12" width="3.8515625" style="0" customWidth="1"/>
    <col min="13" max="13" width="51.421875" style="1" customWidth="1"/>
    <col min="14" max="14" width="10.7109375" style="1" customWidth="1"/>
    <col min="15" max="15" width="2.28125" style="0" customWidth="1"/>
    <col min="16" max="16384" width="8.7109375" style="1" customWidth="1"/>
  </cols>
  <sheetData>
    <row r="1" ht="11.25" customHeight="1"/>
    <row r="2" spans="1:14" ht="18" customHeight="1">
      <c r="A2" s="4"/>
      <c r="B2" s="30"/>
      <c r="C2" s="21"/>
      <c r="D2" s="21"/>
      <c r="E2" s="21"/>
      <c r="F2" s="21"/>
      <c r="G2" s="21"/>
      <c r="H2" s="21"/>
      <c r="I2" s="21"/>
      <c r="J2" s="22"/>
      <c r="K2" s="70" t="s">
        <v>20</v>
      </c>
      <c r="L2" s="71">
        <v>2013</v>
      </c>
      <c r="M2" s="71"/>
      <c r="N2" s="79">
        <f>КалендарныйГод</f>
        <v>2019</v>
      </c>
    </row>
    <row r="3" spans="1:14" ht="21" customHeight="1">
      <c r="A3" s="4"/>
      <c r="B3" s="31" t="s">
        <v>18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19</v>
      </c>
      <c r="J3" s="5"/>
      <c r="K3" s="72"/>
      <c r="L3" s="73"/>
      <c r="M3" s="73"/>
      <c r="N3" s="80"/>
    </row>
    <row r="4" spans="1:14" ht="18" customHeight="1">
      <c r="A4" s="4"/>
      <c r="B4" s="31"/>
      <c r="C4" s="10">
        <f>IF(DAY(СенВс1)=1,СенВс1-6,СенВс1+1)</f>
        <v>43703</v>
      </c>
      <c r="D4" s="10">
        <f>IF(DAY(СенВс1)=1,СенВс1-5,СенВс1+2)</f>
        <v>43704</v>
      </c>
      <c r="E4" s="10">
        <f>IF(DAY(СенВс1)=1,СенВс1-4,СенВс1+3)</f>
        <v>43705</v>
      </c>
      <c r="F4" s="10">
        <f>IF(DAY(СенВс1)=1,СенВс1-3,СенВс1+4)</f>
        <v>43706</v>
      </c>
      <c r="G4" s="10">
        <f>IF(DAY(СенВс1)=1,СенВс1-2,СенВс1+5)</f>
        <v>43707</v>
      </c>
      <c r="H4" s="10">
        <f>IF(DAY(СенВс1)=1,СенВс1-1,СенВс1+6)</f>
        <v>43708</v>
      </c>
      <c r="I4" s="10">
        <f>IF(DAY(СенВс1)=1,СенВс1,СенВс1+7)</f>
        <v>43709</v>
      </c>
      <c r="J4" s="5"/>
      <c r="K4" s="74"/>
      <c r="L4" s="16"/>
      <c r="M4" s="75"/>
      <c r="N4" s="76"/>
    </row>
    <row r="5" spans="1:14" ht="18" customHeight="1">
      <c r="A5" s="4"/>
      <c r="B5" s="28"/>
      <c r="C5" s="10">
        <f>IF(DAY(СенВс1)=1,СенВс1+1,СенВс1+8)</f>
        <v>43710</v>
      </c>
      <c r="D5" s="10">
        <f>IF(DAY(СенВс1)=1,СенВс1+2,СенВс1+9)</f>
        <v>43711</v>
      </c>
      <c r="E5" s="10">
        <f>IF(DAY(СенВс1)=1,СенВс1+3,СенВс1+10)</f>
        <v>43712</v>
      </c>
      <c r="F5" s="10">
        <f>IF(DAY(СенВс1)=1,СенВс1+4,СенВс1+11)</f>
        <v>43713</v>
      </c>
      <c r="G5" s="10">
        <f>IF(DAY(СенВс1)=1,СенВс1+5,СенВс1+12)</f>
        <v>43714</v>
      </c>
      <c r="H5" s="10">
        <f>IF(DAY(СенВс1)=1,СенВс1+6,СенВс1+13)</f>
        <v>43715</v>
      </c>
      <c r="I5" s="10">
        <f>IF(DAY(СенВс1)=1,СенВс1+7,СенВс1+14)</f>
        <v>43716</v>
      </c>
      <c r="J5" s="5"/>
      <c r="K5" s="66"/>
      <c r="L5" s="17"/>
      <c r="M5" s="36"/>
      <c r="N5" s="37"/>
    </row>
    <row r="6" spans="1:14" ht="18" customHeight="1">
      <c r="A6" s="4"/>
      <c r="B6" s="28"/>
      <c r="C6" s="10">
        <f>IF(DAY(СенВс1)=1,СенВс1+8,СенВс1+15)</f>
        <v>43717</v>
      </c>
      <c r="D6" s="10">
        <f>IF(DAY(СенВс1)=1,СенВс1+9,СенВс1+16)</f>
        <v>43718</v>
      </c>
      <c r="E6" s="10">
        <f>IF(DAY(СенВс1)=1,СенВс1+10,СенВс1+17)</f>
        <v>43719</v>
      </c>
      <c r="F6" s="10">
        <f>IF(DAY(СенВс1)=1,СенВс1+11,СенВс1+18)</f>
        <v>43720</v>
      </c>
      <c r="G6" s="10">
        <f>IF(DAY(СенВс1)=1,СенВс1+12,СенВс1+19)</f>
        <v>43721</v>
      </c>
      <c r="H6" s="10">
        <f>IF(DAY(СенВс1)=1,СенВс1+13,СенВс1+20)</f>
        <v>43722</v>
      </c>
      <c r="I6" s="10">
        <f>IF(DAY(СенВс1)=1,СенВс1+14,СенВс1+21)</f>
        <v>43723</v>
      </c>
      <c r="J6" s="5"/>
      <c r="K6" s="66"/>
      <c r="L6" s="17"/>
      <c r="M6" s="36"/>
      <c r="N6" s="37"/>
    </row>
    <row r="7" spans="1:14" ht="18" customHeight="1">
      <c r="A7" s="4"/>
      <c r="B7" s="28"/>
      <c r="C7" s="10">
        <f>IF(DAY(СенВс1)=1,СенВс1+15,СенВс1+22)</f>
        <v>43724</v>
      </c>
      <c r="D7" s="10">
        <f>IF(DAY(СенВс1)=1,СенВс1+16,СенВс1+23)</f>
        <v>43725</v>
      </c>
      <c r="E7" s="10">
        <f>IF(DAY(СенВс1)=1,СенВс1+17,СенВс1+24)</f>
        <v>43726</v>
      </c>
      <c r="F7" s="10">
        <f>IF(DAY(СенВс1)=1,СенВс1+18,СенВс1+25)</f>
        <v>43727</v>
      </c>
      <c r="G7" s="10">
        <f>IF(DAY(СенВс1)=1,СенВс1+19,СенВс1+26)</f>
        <v>43728</v>
      </c>
      <c r="H7" s="10">
        <f>IF(DAY(СенВс1)=1,СенВс1+20,СенВс1+27)</f>
        <v>43729</v>
      </c>
      <c r="I7" s="10">
        <f>IF(DAY(СенВс1)=1,СенВс1+21,СенВс1+28)</f>
        <v>43730</v>
      </c>
      <c r="J7" s="5"/>
      <c r="K7" s="11"/>
      <c r="L7" s="17"/>
      <c r="M7" s="36"/>
      <c r="N7" s="37"/>
    </row>
    <row r="8" spans="1:14" ht="18.75" customHeight="1">
      <c r="A8" s="4"/>
      <c r="B8" s="28"/>
      <c r="C8" s="10">
        <f>IF(DAY(СенВс1)=1,СенВс1+22,СенВс1+29)</f>
        <v>43731</v>
      </c>
      <c r="D8" s="10">
        <f>IF(DAY(СенВс1)=1,СенВс1+23,СенВс1+30)</f>
        <v>43732</v>
      </c>
      <c r="E8" s="10">
        <f>IF(DAY(СенВс1)=1,СенВс1+24,СенВс1+31)</f>
        <v>43733</v>
      </c>
      <c r="F8" s="10">
        <f>IF(DAY(СенВс1)=1,СенВс1+25,СенВс1+32)</f>
        <v>43734</v>
      </c>
      <c r="G8" s="10">
        <f>IF(DAY(СенВс1)=1,СенВс1+26,СенВс1+33)</f>
        <v>43735</v>
      </c>
      <c r="H8" s="10">
        <f>IF(DAY(СенВс1)=1,СенВс1+27,СенВс1+34)</f>
        <v>43736</v>
      </c>
      <c r="I8" s="10">
        <f>IF(DAY(СенВс1)=1,СенВс1+28,СенВс1+35)</f>
        <v>43737</v>
      </c>
      <c r="J8" s="5"/>
      <c r="K8" s="11"/>
      <c r="L8" s="17"/>
      <c r="M8" s="36"/>
      <c r="N8" s="37"/>
    </row>
    <row r="9" spans="1:14" ht="18" customHeight="1">
      <c r="A9" s="4"/>
      <c r="B9" s="28"/>
      <c r="C9" s="10">
        <f>IF(DAY(СенВс1)=1,СенВс1+29,СенВс1+36)</f>
        <v>43738</v>
      </c>
      <c r="D9" s="10">
        <f>IF(DAY(СенВс1)=1,СенВс1+30,СенВс1+37)</f>
        <v>43739</v>
      </c>
      <c r="E9" s="10">
        <f>IF(DAY(СенВс1)=1,СенВс1+31,СенВс1+38)</f>
        <v>43740</v>
      </c>
      <c r="F9" s="10">
        <f>IF(DAY(СенВс1)=1,СенВс1+32,СенВс1+39)</f>
        <v>43741</v>
      </c>
      <c r="G9" s="10">
        <f>IF(DAY(СенВс1)=1,СенВс1+33,СенВс1+40)</f>
        <v>43742</v>
      </c>
      <c r="H9" s="10">
        <f>IF(DAY(СенВс1)=1,СенВс1+34,СенВс1+41)</f>
        <v>43743</v>
      </c>
      <c r="I9" s="10">
        <f>IF(DAY(СенВс1)=1,СенВс1+35,СенВс1+42)</f>
        <v>43744</v>
      </c>
      <c r="J9" s="5"/>
      <c r="K9" s="12"/>
      <c r="L9" s="18"/>
      <c r="M9" s="40"/>
      <c r="N9" s="41"/>
    </row>
    <row r="10" spans="1:14" ht="18" customHeight="1">
      <c r="A10" s="4"/>
      <c r="B10" s="29"/>
      <c r="C10" s="23"/>
      <c r="D10" s="23"/>
      <c r="E10" s="23"/>
      <c r="F10" s="23"/>
      <c r="G10" s="23"/>
      <c r="H10" s="23"/>
      <c r="I10" s="23"/>
      <c r="J10" s="24"/>
      <c r="K10" s="65"/>
      <c r="L10" s="16"/>
      <c r="M10" s="42"/>
      <c r="N10" s="43"/>
    </row>
    <row r="11" spans="1:14" ht="18" customHeight="1">
      <c r="A11" s="4"/>
      <c r="B11" s="33" t="s">
        <v>1</v>
      </c>
      <c r="C11" s="34"/>
      <c r="D11" s="34"/>
      <c r="E11" s="34"/>
      <c r="F11" s="34"/>
      <c r="G11" s="34"/>
      <c r="H11" s="34"/>
      <c r="I11" s="34"/>
      <c r="J11" s="35"/>
      <c r="K11" s="66"/>
      <c r="L11" s="17"/>
      <c r="M11" s="36"/>
      <c r="N11" s="37"/>
    </row>
    <row r="12" spans="1:14" ht="18" customHeight="1">
      <c r="A12" s="4"/>
      <c r="B12" s="33"/>
      <c r="C12" s="34"/>
      <c r="D12" s="34"/>
      <c r="E12" s="34"/>
      <c r="F12" s="34"/>
      <c r="G12" s="34"/>
      <c r="H12" s="34"/>
      <c r="I12" s="34"/>
      <c r="J12" s="35"/>
      <c r="K12" s="66"/>
      <c r="L12" s="17"/>
      <c r="M12" s="36"/>
      <c r="N12" s="37"/>
    </row>
    <row r="13" spans="2:14" ht="18" customHeight="1">
      <c r="B13" s="3" t="s">
        <v>2</v>
      </c>
      <c r="C13" s="67" t="s">
        <v>3</v>
      </c>
      <c r="D13" s="69"/>
      <c r="E13" s="67" t="s">
        <v>4</v>
      </c>
      <c r="F13" s="69"/>
      <c r="G13" s="67" t="s">
        <v>5</v>
      </c>
      <c r="H13" s="69"/>
      <c r="I13" s="67" t="s">
        <v>6</v>
      </c>
      <c r="J13" s="68"/>
      <c r="K13" s="11"/>
      <c r="L13" s="17"/>
      <c r="M13" s="36"/>
      <c r="N13" s="37"/>
    </row>
    <row r="14" spans="2:14" ht="18" customHeight="1">
      <c r="B14" s="8"/>
      <c r="C14" s="44"/>
      <c r="D14" s="45"/>
      <c r="E14" s="44"/>
      <c r="F14" s="45"/>
      <c r="G14" s="44"/>
      <c r="H14" s="45"/>
      <c r="I14" s="44"/>
      <c r="J14" s="59"/>
      <c r="K14" s="11"/>
      <c r="L14" s="17"/>
      <c r="M14" s="36"/>
      <c r="N14" s="37"/>
    </row>
    <row r="15" spans="2:14" ht="18" customHeight="1">
      <c r="B15" s="6"/>
      <c r="C15" s="46"/>
      <c r="D15" s="47"/>
      <c r="E15" s="46"/>
      <c r="F15" s="47"/>
      <c r="G15" s="46"/>
      <c r="H15" s="47"/>
      <c r="I15" s="57"/>
      <c r="J15" s="58"/>
      <c r="K15" s="13"/>
      <c r="L15" s="19"/>
      <c r="M15" s="40"/>
      <c r="N15" s="41"/>
    </row>
    <row r="16" spans="2:14" ht="18" customHeight="1">
      <c r="B16" s="8"/>
      <c r="C16" s="44"/>
      <c r="D16" s="45"/>
      <c r="E16" s="44"/>
      <c r="F16" s="45"/>
      <c r="G16" s="44"/>
      <c r="H16" s="45"/>
      <c r="I16" s="53"/>
      <c r="J16" s="54"/>
      <c r="K16" s="65"/>
      <c r="L16" s="16"/>
      <c r="M16" s="42"/>
      <c r="N16" s="43"/>
    </row>
    <row r="17" spans="2:14" ht="18" customHeight="1">
      <c r="B17" s="6"/>
      <c r="C17" s="46"/>
      <c r="D17" s="47"/>
      <c r="E17" s="46"/>
      <c r="F17" s="47"/>
      <c r="G17" s="46"/>
      <c r="H17" s="47"/>
      <c r="I17" s="57"/>
      <c r="J17" s="58"/>
      <c r="K17" s="66"/>
      <c r="L17" s="17"/>
      <c r="M17" s="36"/>
      <c r="N17" s="37"/>
    </row>
    <row r="18" spans="2:14" ht="18" customHeight="1">
      <c r="B18" s="9"/>
      <c r="C18" s="62"/>
      <c r="D18" s="63"/>
      <c r="E18" s="62"/>
      <c r="F18" s="63"/>
      <c r="G18" s="62"/>
      <c r="H18" s="63"/>
      <c r="I18" s="62"/>
      <c r="J18" s="64"/>
      <c r="K18" s="66"/>
      <c r="L18" s="17"/>
      <c r="M18" s="36"/>
      <c r="N18" s="37"/>
    </row>
    <row r="19" spans="2:14" ht="18" customHeight="1">
      <c r="B19" s="6"/>
      <c r="C19" s="46"/>
      <c r="D19" s="47"/>
      <c r="E19" s="46"/>
      <c r="F19" s="47"/>
      <c r="G19" s="46"/>
      <c r="H19" s="47"/>
      <c r="I19" s="57"/>
      <c r="J19" s="58"/>
      <c r="K19" s="11"/>
      <c r="L19" s="17"/>
      <c r="M19" s="36"/>
      <c r="N19" s="37"/>
    </row>
    <row r="20" spans="2:14" ht="18" customHeight="1">
      <c r="B20" s="8"/>
      <c r="C20" s="44"/>
      <c r="D20" s="45"/>
      <c r="E20" s="44"/>
      <c r="F20" s="45"/>
      <c r="G20" s="44"/>
      <c r="H20" s="45"/>
      <c r="I20" s="44"/>
      <c r="J20" s="59"/>
      <c r="K20" s="11"/>
      <c r="L20" s="17"/>
      <c r="M20" s="36"/>
      <c r="N20" s="37"/>
    </row>
    <row r="21" spans="2:14" ht="18" customHeight="1">
      <c r="B21" s="6"/>
      <c r="C21" s="46"/>
      <c r="D21" s="47"/>
      <c r="E21" s="46"/>
      <c r="F21" s="47"/>
      <c r="G21" s="46"/>
      <c r="H21" s="47"/>
      <c r="I21" s="60"/>
      <c r="J21" s="61"/>
      <c r="K21" s="13"/>
      <c r="L21" s="19"/>
      <c r="M21" s="40"/>
      <c r="N21" s="41"/>
    </row>
    <row r="22" spans="2:14" ht="18" customHeight="1">
      <c r="B22" s="8"/>
      <c r="C22" s="44"/>
      <c r="D22" s="45"/>
      <c r="E22" s="44"/>
      <c r="F22" s="45"/>
      <c r="G22" s="44"/>
      <c r="H22" s="45"/>
      <c r="I22" s="44"/>
      <c r="J22" s="59"/>
      <c r="K22" s="65"/>
      <c r="L22" s="16"/>
      <c r="M22" s="42"/>
      <c r="N22" s="43"/>
    </row>
    <row r="23" spans="2:14" ht="18" customHeight="1">
      <c r="B23" s="6"/>
      <c r="C23" s="46"/>
      <c r="D23" s="47"/>
      <c r="E23" s="46"/>
      <c r="F23" s="47"/>
      <c r="G23" s="46"/>
      <c r="H23" s="47"/>
      <c r="I23" s="57"/>
      <c r="J23" s="58"/>
      <c r="K23" s="66"/>
      <c r="L23" s="17"/>
      <c r="M23" s="36"/>
      <c r="N23" s="37"/>
    </row>
    <row r="24" spans="2:14" ht="18" customHeight="1">
      <c r="B24" s="8"/>
      <c r="C24" s="44"/>
      <c r="D24" s="45"/>
      <c r="E24" s="44"/>
      <c r="F24" s="45"/>
      <c r="G24" s="44"/>
      <c r="H24" s="45"/>
      <c r="I24" s="44"/>
      <c r="J24" s="59"/>
      <c r="K24" s="66"/>
      <c r="L24" s="17"/>
      <c r="M24" s="36"/>
      <c r="N24" s="37"/>
    </row>
    <row r="25" spans="2:14" ht="18" customHeight="1">
      <c r="B25" s="6"/>
      <c r="C25" s="46"/>
      <c r="D25" s="47"/>
      <c r="E25" s="46"/>
      <c r="F25" s="47"/>
      <c r="G25" s="46"/>
      <c r="H25" s="47"/>
      <c r="I25" s="57"/>
      <c r="J25" s="58"/>
      <c r="K25" s="66"/>
      <c r="L25" s="17"/>
      <c r="M25" s="36"/>
      <c r="N25" s="37"/>
    </row>
    <row r="26" spans="2:14" ht="18" customHeight="1">
      <c r="B26" s="8"/>
      <c r="C26" s="44"/>
      <c r="D26" s="45"/>
      <c r="E26" s="44"/>
      <c r="F26" s="45"/>
      <c r="G26" s="44"/>
      <c r="H26" s="45"/>
      <c r="I26" s="44"/>
      <c r="J26" s="59"/>
      <c r="K26" s="11"/>
      <c r="L26" s="17"/>
      <c r="M26" s="36"/>
      <c r="N26" s="37"/>
    </row>
    <row r="27" spans="2:14" ht="18" customHeight="1">
      <c r="B27" s="6"/>
      <c r="C27" s="46"/>
      <c r="D27" s="47"/>
      <c r="E27" s="46"/>
      <c r="F27" s="47"/>
      <c r="G27" s="46"/>
      <c r="H27" s="47"/>
      <c r="I27" s="57"/>
      <c r="J27" s="58"/>
      <c r="K27" s="13"/>
      <c r="L27" s="19"/>
      <c r="M27" s="40"/>
      <c r="N27" s="41"/>
    </row>
    <row r="28" spans="2:14" ht="18" customHeight="1">
      <c r="B28" s="8"/>
      <c r="C28" s="44"/>
      <c r="D28" s="45"/>
      <c r="E28" s="44"/>
      <c r="F28" s="45"/>
      <c r="G28" s="44"/>
      <c r="H28" s="45"/>
      <c r="I28" s="44"/>
      <c r="J28" s="59"/>
      <c r="K28" s="65"/>
      <c r="L28" s="16"/>
      <c r="M28" s="42"/>
      <c r="N28" s="43"/>
    </row>
    <row r="29" spans="2:14" ht="18" customHeight="1">
      <c r="B29" s="6"/>
      <c r="C29" s="46"/>
      <c r="D29" s="47"/>
      <c r="E29" s="46"/>
      <c r="F29" s="47"/>
      <c r="G29" s="46"/>
      <c r="H29" s="47"/>
      <c r="I29" s="46"/>
      <c r="J29" s="52"/>
      <c r="K29" s="66"/>
      <c r="L29" s="17"/>
      <c r="M29" s="36"/>
      <c r="N29" s="37"/>
    </row>
    <row r="30" spans="2:14" ht="18" customHeight="1">
      <c r="B30" s="8"/>
      <c r="C30" s="44"/>
      <c r="D30" s="45"/>
      <c r="E30" s="44"/>
      <c r="F30" s="45"/>
      <c r="G30" s="44"/>
      <c r="H30" s="45"/>
      <c r="I30" s="50"/>
      <c r="J30" s="51"/>
      <c r="K30" s="66"/>
      <c r="L30" s="17"/>
      <c r="M30" s="36"/>
      <c r="N30" s="37"/>
    </row>
    <row r="31" spans="2:14" ht="18" customHeight="1">
      <c r="B31" s="6"/>
      <c r="C31" s="46"/>
      <c r="D31" s="47"/>
      <c r="E31" s="46"/>
      <c r="F31" s="47"/>
      <c r="G31" s="46"/>
      <c r="H31" s="47"/>
      <c r="I31" s="46"/>
      <c r="J31" s="52"/>
      <c r="K31" s="14"/>
      <c r="L31" s="17"/>
      <c r="M31" s="36"/>
      <c r="N31" s="37"/>
    </row>
    <row r="32" spans="2:14" ht="18" customHeight="1">
      <c r="B32" s="8"/>
      <c r="C32" s="44"/>
      <c r="D32" s="45"/>
      <c r="E32" s="44"/>
      <c r="F32" s="45"/>
      <c r="G32" s="44"/>
      <c r="H32" s="45"/>
      <c r="I32" s="53"/>
      <c r="J32" s="54"/>
      <c r="K32" s="14"/>
      <c r="L32" s="17"/>
      <c r="M32" s="36"/>
      <c r="N32" s="37"/>
    </row>
    <row r="33" spans="2:14" ht="18" customHeight="1">
      <c r="B33" s="7"/>
      <c r="C33" s="48"/>
      <c r="D33" s="49"/>
      <c r="E33" s="48"/>
      <c r="F33" s="49"/>
      <c r="G33" s="48"/>
      <c r="H33" s="49"/>
      <c r="I33" s="55"/>
      <c r="J33" s="56"/>
      <c r="K33" s="15"/>
      <c r="L33" s="20"/>
      <c r="M33" s="38"/>
      <c r="N33" s="39"/>
    </row>
  </sheetData>
  <sheetProtection/>
  <mergeCells count="123">
    <mergeCell ref="C13:D13"/>
    <mergeCell ref="E13:F13"/>
    <mergeCell ref="G13:H13"/>
    <mergeCell ref="I13:J13"/>
    <mergeCell ref="M13:N13"/>
    <mergeCell ref="B3:B4"/>
    <mergeCell ref="K2:M3"/>
    <mergeCell ref="K4:K6"/>
    <mergeCell ref="M4:N4"/>
    <mergeCell ref="M5:N5"/>
    <mergeCell ref="K10:K12"/>
    <mergeCell ref="N2:N3"/>
    <mergeCell ref="M10:N10"/>
    <mergeCell ref="B11:J12"/>
    <mergeCell ref="M11:N11"/>
    <mergeCell ref="M12:N12"/>
    <mergeCell ref="M6:N6"/>
    <mergeCell ref="M7:N7"/>
    <mergeCell ref="M8:N8"/>
    <mergeCell ref="M9:N9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M17:N17"/>
    <mergeCell ref="C18:D18"/>
    <mergeCell ref="E18:F18"/>
    <mergeCell ref="G18:H18"/>
    <mergeCell ref="I18:J18"/>
    <mergeCell ref="M18:N18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E24:F24"/>
    <mergeCell ref="G24:H24"/>
    <mergeCell ref="I24:J24"/>
    <mergeCell ref="M24:N24"/>
    <mergeCell ref="C25:D25"/>
    <mergeCell ref="E25:F25"/>
    <mergeCell ref="G25:H25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G27:H27"/>
    <mergeCell ref="I27:J27"/>
    <mergeCell ref="M27:N27"/>
    <mergeCell ref="M22:N22"/>
    <mergeCell ref="C23:D23"/>
    <mergeCell ref="E23:F23"/>
    <mergeCell ref="G23:H23"/>
    <mergeCell ref="I23:J23"/>
    <mergeCell ref="M23:N23"/>
    <mergeCell ref="C24:D24"/>
    <mergeCell ref="I29:J29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C32:D32"/>
    <mergeCell ref="E32:F32"/>
    <mergeCell ref="G32:H32"/>
    <mergeCell ref="I32:J32"/>
    <mergeCell ref="M32:N32"/>
    <mergeCell ref="M29:N29"/>
    <mergeCell ref="C30:D30"/>
    <mergeCell ref="E30:F30"/>
    <mergeCell ref="G30:H30"/>
    <mergeCell ref="I30:J30"/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</mergeCells>
  <conditionalFormatting sqref="C4:H4">
    <cfRule type="expression" priority="3" dxfId="2" stopIfTrue="1">
      <formula>DAY(C4)&gt;8</formula>
    </cfRule>
  </conditionalFormatting>
  <conditionalFormatting sqref="C8:I10">
    <cfRule type="expression" priority="2" dxfId="2" stopIfTrue="1">
      <formula>AND(DAY(C8)&gt;=1,DAY(C8)&lt;=15)</formula>
    </cfRule>
  </conditionalFormatting>
  <conditionalFormatting sqref="C4:I9">
    <cfRule type="expression" priority="4" dxfId="1">
      <formula>VLOOKUP(DAY(C4),КоличествоДней,1,FALSE)=DAY(C4)</formula>
    </cfRule>
  </conditionalFormatting>
  <conditionalFormatting sqref="B14:J33">
    <cfRule type="expression" priority="1" dxfId="0">
      <formula>B14&lt;&gt;""</formula>
    </cfRule>
  </conditionalFormatting>
  <printOptions horizontalCentered="1" verticalCentered="1"/>
  <pageMargins left="0.5" right="0.5" top="0.5" bottom="0.5" header="0.3" footer="0.3"/>
  <pageSetup fitToHeight="1" fitToWidth="1"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Алексей Рубан</cp:lastModifiedBy>
  <dcterms:created xsi:type="dcterms:W3CDTF">2013-11-22T23:21:45Z</dcterms:created>
  <dcterms:modified xsi:type="dcterms:W3CDTF">2018-02-05T17:06:10Z</dcterms:modified>
  <cp:category/>
  <cp:version/>
  <cp:contentType/>
  <cp:contentStatus/>
</cp:coreProperties>
</file>