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" windowWidth="20490" windowHeight="7515" tabRatio="741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'Август'!$A$1:$N$33</definedName>
    <definedName name="_xlnm.Print_Area" localSheetId="3">'Апрель'!$A$1:$N$33</definedName>
    <definedName name="_xlnm.Print_Area" localSheetId="11">'Декабрь'!$A$1:$N$33</definedName>
    <definedName name="_xlnm.Print_Area" localSheetId="6">'Июль'!$A$1:$N$33</definedName>
    <definedName name="_xlnm.Print_Area" localSheetId="5">'Июнь'!$A$1:$N$33</definedName>
    <definedName name="_xlnm.Print_Area" localSheetId="4">'Май'!$A$1:$N$33</definedName>
    <definedName name="_xlnm.Print_Area" localSheetId="2">'Март'!$A$1:$N$33</definedName>
    <definedName name="_xlnm.Print_Area" localSheetId="10">'Ноябрь'!$A$1:$N$33</definedName>
    <definedName name="_xlnm.Print_Area" localSheetId="9">'Октябрь'!$A$1:$N$33</definedName>
    <definedName name="_xlnm.Print_Area" localSheetId="8">'Сентябрь'!$A$1:$N$33</definedName>
    <definedName name="_xlnm.Print_Area" localSheetId="1">'Февраль'!$A$1:$N$33</definedName>
    <definedName name="_xlnm.Print_Area" localSheetId="0">'Январь'!$A$1:$N$33</definedName>
    <definedName name="АвгВс1">DATE(КалендарныйГод,8,1)-WEEKDAY(DATE(КалендарныйГод,8,1))+1</definedName>
    <definedName name="АпрВс1">DATE(КалендарныйГод,4,1)-WEEKDAY(DATE(КалендарныйГод,4,1))+1</definedName>
    <definedName name="ДекВс1">DATE(КалендарныйГод,12,1)-WEEKDAY(DATE(КалендарныйГод,12,1))+1</definedName>
    <definedName name="ИюлВс1">DATE(КалендарныйГод,7,1)-WEEKDAY(DATE(КалендарныйГод,7,1))+1</definedName>
    <definedName name="ИюнВс1">DATE(КалендарныйГод,6,1)-WEEKDAY(DATE(КалендарныйГод,6,1))+1</definedName>
    <definedName name="КалендарныйГод">'Январь'!$N$2</definedName>
    <definedName name="КоличествоДней" localSheetId="7">'Август'!$L$4:$L$33</definedName>
    <definedName name="КоличествоДней" localSheetId="3">'Апрель'!$L$4:$L$33</definedName>
    <definedName name="КоличествоДней" localSheetId="11">'Декабрь'!$L$4:$L$33</definedName>
    <definedName name="КоличествоДней" localSheetId="6">'Июль'!$L$4:$L$33</definedName>
    <definedName name="КоличествоДней" localSheetId="5">'Июнь'!$L$4:$L$33</definedName>
    <definedName name="КоличествоДней" localSheetId="4">'Май'!$L$4:$L$33</definedName>
    <definedName name="КоличествоДней" localSheetId="2">'Март'!$L$4:$L$33</definedName>
    <definedName name="КоличествоДней" localSheetId="10">'Ноябрь'!$L$4:$L$33</definedName>
    <definedName name="КоличествоДней" localSheetId="9">'Октябрь'!$L$4:$L$33</definedName>
    <definedName name="КоличествоДней" localSheetId="8">'Сентябрь'!$L$4:$L$33</definedName>
    <definedName name="КоличествоДней" localSheetId="1">'Февраль'!$L$4:$L$33</definedName>
    <definedName name="КоличествоДней">'Январь'!$L$4:$L$33</definedName>
    <definedName name="МайВс1">DATE(КалендарныйГод,5,1)-WEEKDAY(DATE(КалендарныйГод,5,1))+1</definedName>
    <definedName name="МарВс1">DATE(КалендарныйГод,3,1)-WEEKDAY(DATE(КалендарныйГод,3,1))+1</definedName>
    <definedName name="НояВс1">DATE(КалендарныйГод,11,1)-WEEKDAY(DATE(КалендарныйГод,11,1))+1</definedName>
    <definedName name="ОктВс1">DATE(КалендарныйГод,10,1)-WEEKDAY(DATE(КалендарныйГод,10,1))+1</definedName>
    <definedName name="СенВс1">DATE(КалендарныйГод,9,1)-WEEKDAY(DATE(КалендарныйГод,9,1))+1</definedName>
    <definedName name="ТаблицаВажныхДат" localSheetId="7">'Август'!$L$4:$M$8</definedName>
    <definedName name="ТаблицаВажныхДат" localSheetId="3">'Апрель'!$L$4:$M$8</definedName>
    <definedName name="ТаблицаВажныхДат" localSheetId="11">'Декабрь'!$L$4:$M$8</definedName>
    <definedName name="ТаблицаВажныхДат" localSheetId="6">'Июль'!$L$4:$M$8</definedName>
    <definedName name="ТаблицаВажныхДат" localSheetId="5">'Июнь'!$L$4:$M$8</definedName>
    <definedName name="ТаблицаВажныхДат" localSheetId="4">'Май'!$L$4:$M$8</definedName>
    <definedName name="ТаблицаВажныхДат" localSheetId="2">'Март'!$L$4:$M$8</definedName>
    <definedName name="ТаблицаВажныхДат" localSheetId="10">'Ноябрь'!$L$4:$M$8</definedName>
    <definedName name="ТаблицаВажныхДат" localSheetId="9">'Октябрь'!$L$4:$M$8</definedName>
    <definedName name="ТаблицаВажныхДат" localSheetId="8">'Сентябрь'!$L$4:$M$8</definedName>
    <definedName name="ТаблицаВажныхДат" localSheetId="1">'Февраль'!$L$4:$M$8</definedName>
    <definedName name="ТаблицаВажныхДат">'Январь'!$L$4:$M$8</definedName>
    <definedName name="ФевВс1">DATE(КалендарныйГод,2,1)-WEEKDAY(DATE(КалендарныйГод,2,1))+1</definedName>
    <definedName name="ЯнвВс1">DATE(КалендарныйГод,1,1)-WEEKDAY(DATE(КалендарныйГод,1,1))+1</definedName>
  </definedNames>
  <calcPr fullCalcOnLoad="1"/>
</workbook>
</file>

<file path=xl/sharedStrings.xml><?xml version="1.0" encoding="utf-8"?>
<sst xmlns="http://schemas.openxmlformats.org/spreadsheetml/2006/main" count="183" uniqueCount="24">
  <si>
    <t>ЯНВ</t>
  </si>
  <si>
    <t>РАСПИСАНИЕ НА НЕДЕЛЮ</t>
  </si>
  <si>
    <t>ПН</t>
  </si>
  <si>
    <t>ВТ</t>
  </si>
  <si>
    <t>СР</t>
  </si>
  <si>
    <t>ЧТ</t>
  </si>
  <si>
    <t>ПТ</t>
  </si>
  <si>
    <t>СБ</t>
  </si>
  <si>
    <t>ОКТ</t>
  </si>
  <si>
    <t>НОЯ</t>
  </si>
  <si>
    <t>ДЕК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</si>
  <si>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</si>
  <si>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</si>
  <si>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</si>
  <si>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</si>
  <si>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</si>
  <si>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</si>
  <si>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</si>
  <si>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</si>
  <si>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BC</t>
  </si>
  <si>
    <t>СОБЫТИЯ</t>
  </si>
  <si>
    <t>День рождения Васи</t>
  </si>
  <si>
    <t>Поездка на экскурсию</t>
  </si>
  <si>
    <t>День рождения мамы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</si>
</sst>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"/>
  </numFmts>
  <fonts count="59"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8"/>
      <name val="Arial"/>
      <family val="2"/>
    </font>
    <font>
      <sz val="12"/>
      <color indexed="49"/>
      <name val="Arial"/>
      <family val="2"/>
    </font>
    <font>
      <sz val="10"/>
      <color indexed="8"/>
      <name val="Arial"/>
      <family val="2"/>
    </font>
    <font>
      <b/>
      <sz val="12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0.5"/>
      <color indexed="63"/>
      <name val="Arial"/>
      <family val="2"/>
    </font>
    <font>
      <b/>
      <sz val="10.5"/>
      <name val="Arial"/>
      <family val="2"/>
    </font>
    <font>
      <b/>
      <sz val="17"/>
      <color indexed="49"/>
      <name val="Arial"/>
      <family val="2"/>
    </font>
    <font>
      <b/>
      <sz val="24"/>
      <color indexed="49"/>
      <name val="Arial"/>
      <family val="2"/>
    </font>
    <font>
      <b/>
      <sz val="26"/>
      <color indexed="49"/>
      <name val="Arial"/>
      <family val="2"/>
    </font>
    <font>
      <b/>
      <sz val="10"/>
      <color indexed="4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24"/>
      <color theme="4"/>
      <name val="Arial"/>
      <family val="2"/>
    </font>
    <font>
      <b/>
      <sz val="17"/>
      <color theme="4"/>
      <name val="Arial"/>
      <family val="2"/>
    </font>
    <font>
      <b/>
      <sz val="12"/>
      <color theme="4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26"/>
      <color theme="4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.5"/>
      <color theme="1" tint="0.24998000264167786"/>
      <name val="Arial"/>
      <family val="2"/>
    </font>
    <font>
      <b/>
      <sz val="10"/>
      <color theme="1"/>
      <name val="Arial"/>
      <family val="2"/>
    </font>
    <font>
      <sz val="12"/>
      <color theme="4"/>
      <name val="Arial"/>
      <family val="2"/>
    </font>
    <font>
      <sz val="12"/>
      <color rgb="FF002060"/>
      <name val="Arial"/>
      <family val="2"/>
    </font>
    <font>
      <b/>
      <sz val="10"/>
      <color rgb="FF39B5D4"/>
      <name val="Arial"/>
      <family val="2"/>
    </font>
    <font>
      <sz val="10"/>
      <color theme="1" tint="0.24998000264167786"/>
      <name val="Arial"/>
      <family val="2"/>
    </font>
    <font>
      <b/>
      <sz val="10"/>
      <color theme="4"/>
      <name val="Arial"/>
      <family val="2"/>
    </font>
    <font>
      <sz val="12"/>
      <color theme="1" tint="0.24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7999799847602844"/>
      </left>
      <right style="thin">
        <color theme="0"/>
      </right>
      <top/>
      <bottom/>
    </border>
    <border>
      <left/>
      <right style="thin">
        <color theme="4" tint="0.7999799847602844"/>
      </right>
      <top/>
      <bottom/>
    </border>
    <border>
      <left/>
      <right style="thin">
        <color theme="4" tint="0.7999200224876404"/>
      </right>
      <top/>
      <bottom/>
    </border>
    <border>
      <left style="thin">
        <color theme="4" tint="0.7999799847602844"/>
      </left>
      <right style="thin">
        <color theme="0"/>
      </right>
      <top/>
      <bottom style="thin">
        <color theme="0"/>
      </bottom>
    </border>
    <border>
      <left style="thin">
        <color theme="4" tint="0.7999799847602844"/>
      </left>
      <right style="thin">
        <color theme="0"/>
      </right>
      <top/>
      <bottom style="thin">
        <color theme="4" tint="0.7999500036239624"/>
      </bottom>
    </border>
    <border>
      <left style="thin">
        <color theme="4" tint="0.7999799847602844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4" tint="0.7999799847602844"/>
      </bottom>
    </border>
    <border>
      <left/>
      <right/>
      <top/>
      <bottom style="thin">
        <color theme="4" tint="0.7999500036239624"/>
      </bottom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500036239624"/>
      </top>
      <bottom/>
    </border>
    <border>
      <left/>
      <right style="thin">
        <color theme="4" tint="0.7999200224876404"/>
      </right>
      <top style="thin">
        <color theme="4" tint="0.7999500036239624"/>
      </top>
      <bottom/>
    </border>
    <border>
      <left/>
      <right style="thin">
        <color theme="4" tint="0.7999200224876404"/>
      </right>
      <top/>
      <bottom style="thin">
        <color theme="4" tint="0.7999500036239624"/>
      </bottom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/>
      <bottom style="thin">
        <color theme="4" tint="0.7999500036239624"/>
      </bottom>
    </border>
    <border>
      <left style="thin">
        <color theme="4" tint="0.7999799847602844"/>
      </left>
      <right/>
      <top style="thin">
        <color theme="4" tint="0.7999500036239624"/>
      </top>
      <bottom/>
    </border>
    <border>
      <left style="thin">
        <color theme="4" tint="0.7999200224876404"/>
      </left>
      <right/>
      <top style="thin">
        <color theme="4" tint="0.7999799847602844"/>
      </top>
      <bottom/>
    </border>
    <border>
      <left style="thin">
        <color theme="4" tint="0.7999200224876404"/>
      </left>
      <right/>
      <top/>
      <bottom/>
    </border>
    <border>
      <left/>
      <right style="thin">
        <color theme="4" tint="0.7999500036239624"/>
      </right>
      <top style="thin">
        <color theme="5"/>
      </top>
      <bottom style="thin">
        <color theme="5"/>
      </bottom>
    </border>
    <border>
      <left/>
      <right style="thin">
        <color theme="4" tint="0.7999500036239624"/>
      </right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9799847602844"/>
      </top>
      <bottom style="thin">
        <color theme="5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4" tint="0.7999200224876404"/>
      </left>
      <right/>
      <top style="thin">
        <color theme="4" tint="0.7998899817466736"/>
      </top>
      <bottom/>
    </border>
    <border>
      <left/>
      <right/>
      <top style="thin">
        <color theme="4" tint="0.7998899817466736"/>
      </top>
      <bottom/>
    </border>
    <border>
      <left style="thin">
        <color theme="4" tint="0.7999200224876404"/>
      </left>
      <right/>
      <top/>
      <bottom style="thin">
        <color theme="4" tint="0.7998899817466736"/>
      </bottom>
    </border>
    <border>
      <left/>
      <right/>
      <top/>
      <bottom style="thin">
        <color theme="4" tint="0.7998899817466736"/>
      </bottom>
    </border>
    <border>
      <left/>
      <right/>
      <top style="thin">
        <color theme="4" tint="0.7998899817466736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8899817466736"/>
      </top>
      <bottom style="thin">
        <color theme="5"/>
      </bottom>
    </border>
    <border>
      <left/>
      <right style="thin">
        <color theme="4" tint="0.7998899817466736"/>
      </right>
      <top style="thin">
        <color theme="4" tint="0.7998899817466736"/>
      </top>
      <bottom/>
    </border>
    <border>
      <left/>
      <right style="thin">
        <color theme="4" tint="0.7998899817466736"/>
      </right>
      <top/>
      <bottom style="thin">
        <color theme="4" tint="0.7998899817466736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4" tint="0.7999500036239624"/>
      </bottom>
    </border>
    <border>
      <left/>
      <right style="thin">
        <color theme="0"/>
      </right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0"/>
      </bottom>
    </border>
    <border>
      <left/>
      <right style="thin">
        <color theme="4" tint="0.7999200224876404"/>
      </right>
      <top style="thin">
        <color theme="0"/>
      </top>
      <bottom/>
    </border>
    <border>
      <left/>
      <right style="thin">
        <color theme="4" tint="0.7998600006103516"/>
      </right>
      <top style="thin">
        <color theme="4" tint="0.7998600006103516"/>
      </top>
      <bottom/>
    </border>
    <border>
      <left/>
      <right style="thin">
        <color theme="4" tint="0.7998600006103516"/>
      </right>
      <top/>
      <bottom style="thin">
        <color theme="4" tint="0.79988998174667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Protection="0">
      <alignment textRotation="90"/>
    </xf>
    <xf numFmtId="0" fontId="41" fillId="30" borderId="1" applyNumberFormat="0" applyAlignment="0" applyProtection="0"/>
    <xf numFmtId="0" fontId="42" fillId="0" borderId="3" applyNumberFormat="0" applyFill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0" fontId="44" fillId="27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8" fillId="20" borderId="7" xfId="0" applyFont="1" applyFill="1" applyBorder="1" applyAlignment="1">
      <alignment horizontal="left" inden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9" fillId="33" borderId="10" xfId="0" applyFont="1" applyFill="1" applyBorder="1" applyAlignment="1">
      <alignment horizontal="left" vertical="top" indent="1"/>
    </xf>
    <xf numFmtId="0" fontId="49" fillId="33" borderId="11" xfId="0" applyFont="1" applyFill="1" applyBorder="1" applyAlignment="1">
      <alignment horizontal="left" vertical="top" indent="1"/>
    </xf>
    <xf numFmtId="49" fontId="50" fillId="33" borderId="7" xfId="0" applyNumberFormat="1" applyFont="1" applyFill="1" applyBorder="1" applyAlignment="1">
      <alignment horizontal="left" indent="1"/>
    </xf>
    <xf numFmtId="49" fontId="50" fillId="33" borderId="12" xfId="0" applyNumberFormat="1" applyFont="1" applyFill="1" applyBorder="1" applyAlignment="1">
      <alignment horizontal="left" indent="1"/>
    </xf>
    <xf numFmtId="164" fontId="51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textRotation="90"/>
    </xf>
    <xf numFmtId="0" fontId="52" fillId="0" borderId="0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 textRotation="90"/>
    </xf>
    <xf numFmtId="164" fontId="54" fillId="0" borderId="14" xfId="0" applyNumberFormat="1" applyFont="1" applyFill="1" applyBorder="1" applyAlignment="1">
      <alignment horizontal="right" vertic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164" fontId="52" fillId="0" borderId="14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14" fillId="0" borderId="14" xfId="0" applyNumberFormat="1" applyFont="1" applyFill="1" applyBorder="1" applyAlignment="1">
      <alignment horizontal="left" vertical="center" wrapText="1" indent="1"/>
    </xf>
    <xf numFmtId="0" fontId="0" fillId="0" borderId="20" xfId="0" applyFont="1" applyBorder="1" applyAlignment="1">
      <alignment/>
    </xf>
    <xf numFmtId="0" fontId="55" fillId="0" borderId="0" xfId="0" applyFont="1" applyAlignment="1">
      <alignment vertical="center" wrapText="1"/>
    </xf>
    <xf numFmtId="0" fontId="38" fillId="0" borderId="21" xfId="48" applyFill="1" applyBorder="1" applyAlignment="1">
      <alignment vertical="top"/>
    </xf>
    <xf numFmtId="0" fontId="38" fillId="0" borderId="22" xfId="48" applyFill="1" applyBorder="1" applyAlignment="1">
      <alignment vertical="top"/>
    </xf>
    <xf numFmtId="0" fontId="38" fillId="0" borderId="21" xfId="48" applyFill="1" applyBorder="1" applyAlignment="1">
      <alignment vertical="center" textRotation="90"/>
    </xf>
    <xf numFmtId="0" fontId="38" fillId="0" borderId="22" xfId="48" applyFill="1" applyBorder="1" applyAlignment="1">
      <alignment vertical="center" textRotation="90"/>
    </xf>
    <xf numFmtId="0" fontId="0" fillId="0" borderId="23" xfId="0" applyFont="1" applyBorder="1" applyAlignment="1">
      <alignment/>
    </xf>
    <xf numFmtId="0" fontId="40" fillId="0" borderId="24" xfId="51" applyBorder="1" applyAlignment="1">
      <alignment vertical="top"/>
    </xf>
    <xf numFmtId="0" fontId="40" fillId="0" borderId="25" xfId="51" applyBorder="1" applyAlignment="1">
      <alignment vertical="top"/>
    </xf>
    <xf numFmtId="0" fontId="56" fillId="0" borderId="16" xfId="0" applyFont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6" fillId="0" borderId="27" xfId="0" applyFont="1" applyBorder="1" applyAlignment="1">
      <alignment horizontal="left"/>
    </xf>
    <xf numFmtId="0" fontId="56" fillId="0" borderId="28" xfId="0" applyFont="1" applyBorder="1" applyAlignment="1">
      <alignment horizontal="left"/>
    </xf>
    <xf numFmtId="0" fontId="56" fillId="0" borderId="29" xfId="0" applyFont="1" applyBorder="1" applyAlignment="1">
      <alignment horizontal="left"/>
    </xf>
    <xf numFmtId="0" fontId="48" fillId="20" borderId="30" xfId="0" applyFont="1" applyFill="1" applyBorder="1" applyAlignment="1">
      <alignment horizontal="left" indent="1"/>
    </xf>
    <xf numFmtId="0" fontId="48" fillId="20" borderId="9" xfId="0" applyFont="1" applyFill="1" applyBorder="1" applyAlignment="1">
      <alignment horizontal="left" indent="1"/>
    </xf>
    <xf numFmtId="0" fontId="48" fillId="20" borderId="31" xfId="0" applyFont="1" applyFill="1" applyBorder="1" applyAlignment="1">
      <alignment horizontal="left" indent="1"/>
    </xf>
    <xf numFmtId="0" fontId="39" fillId="0" borderId="32" xfId="49" applyBorder="1" applyAlignment="1">
      <alignment horizontal="left" vertical="center"/>
    </xf>
    <xf numFmtId="0" fontId="39" fillId="0" borderId="33" xfId="49" applyBorder="1" applyAlignment="1">
      <alignment horizontal="left" vertical="center"/>
    </xf>
    <xf numFmtId="0" fontId="39" fillId="0" borderId="34" xfId="49" applyBorder="1" applyAlignment="1">
      <alignment horizontal="left" vertical="center"/>
    </xf>
    <xf numFmtId="0" fontId="39" fillId="0" borderId="35" xfId="49" applyBorder="1" applyAlignment="1">
      <alignment horizontal="left" vertical="center"/>
    </xf>
    <xf numFmtId="0" fontId="40" fillId="0" borderId="32" xfId="51" applyBorder="1" applyAlignment="1">
      <alignment vertical="top"/>
    </xf>
    <xf numFmtId="0" fontId="56" fillId="0" borderId="36" xfId="0" applyFont="1" applyBorder="1" applyAlignment="1">
      <alignment horizontal="left"/>
    </xf>
    <xf numFmtId="0" fontId="56" fillId="0" borderId="37" xfId="0" applyFont="1" applyBorder="1" applyAlignment="1">
      <alignment horizontal="left"/>
    </xf>
    <xf numFmtId="0" fontId="39" fillId="0" borderId="38" xfId="49" applyFill="1" applyBorder="1" applyAlignment="1">
      <alignment horizontal="center" vertical="center"/>
    </xf>
    <xf numFmtId="0" fontId="39" fillId="0" borderId="39" xfId="49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left" vertical="top" indent="1"/>
    </xf>
    <xf numFmtId="0" fontId="49" fillId="33" borderId="41" xfId="0" applyFont="1" applyFill="1" applyBorder="1" applyAlignment="1">
      <alignment horizontal="left" vertical="top" indent="1"/>
    </xf>
    <xf numFmtId="49" fontId="50" fillId="33" borderId="30" xfId="0" applyNumberFormat="1" applyFont="1" applyFill="1" applyBorder="1" applyAlignment="1">
      <alignment horizontal="left" indent="1"/>
    </xf>
    <xf numFmtId="49" fontId="50" fillId="33" borderId="31" xfId="0" applyNumberFormat="1" applyFont="1" applyFill="1" applyBorder="1" applyAlignment="1">
      <alignment horizontal="left" indent="1"/>
    </xf>
    <xf numFmtId="49" fontId="50" fillId="33" borderId="42" xfId="0" applyNumberFormat="1" applyFont="1" applyFill="1" applyBorder="1" applyAlignment="1">
      <alignment horizontal="left" indent="1"/>
    </xf>
    <xf numFmtId="49" fontId="50" fillId="33" borderId="43" xfId="0" applyNumberFormat="1" applyFont="1" applyFill="1" applyBorder="1" applyAlignment="1">
      <alignment horizontal="left" indent="1"/>
    </xf>
    <xf numFmtId="0" fontId="49" fillId="33" borderId="44" xfId="0" applyFont="1" applyFill="1" applyBorder="1" applyAlignment="1">
      <alignment horizontal="left" vertical="top" indent="1"/>
    </xf>
    <xf numFmtId="0" fontId="49" fillId="33" borderId="45" xfId="0" applyFont="1" applyFill="1" applyBorder="1" applyAlignment="1">
      <alignment horizontal="left" vertical="top" indent="1"/>
    </xf>
    <xf numFmtId="164" fontId="49" fillId="33" borderId="40" xfId="0" applyNumberFormat="1" applyFont="1" applyFill="1" applyBorder="1" applyAlignment="1">
      <alignment horizontal="left" vertical="top" indent="1"/>
    </xf>
    <xf numFmtId="164" fontId="49" fillId="33" borderId="46" xfId="0" applyNumberFormat="1" applyFont="1" applyFill="1" applyBorder="1" applyAlignment="1">
      <alignment horizontal="left" vertical="top" indent="1"/>
    </xf>
    <xf numFmtId="49" fontId="50" fillId="33" borderId="47" xfId="0" applyNumberFormat="1" applyFont="1" applyFill="1" applyBorder="1" applyAlignment="1">
      <alignment horizontal="left" indent="1"/>
    </xf>
    <xf numFmtId="49" fontId="50" fillId="33" borderId="9" xfId="0" applyNumberFormat="1" applyFont="1" applyFill="1" applyBorder="1" applyAlignment="1">
      <alignment horizontal="left" indent="1"/>
    </xf>
    <xf numFmtId="49" fontId="50" fillId="33" borderId="30" xfId="0" applyNumberFormat="1" applyFont="1" applyFill="1" applyBorder="1" applyAlignment="1">
      <alignment horizontal="left" vertical="center" indent="1"/>
    </xf>
    <xf numFmtId="49" fontId="50" fillId="33" borderId="9" xfId="0" applyNumberFormat="1" applyFont="1" applyFill="1" applyBorder="1" applyAlignment="1">
      <alignment horizontal="left" vertical="center" indent="1"/>
    </xf>
    <xf numFmtId="0" fontId="50" fillId="33" borderId="40" xfId="0" applyFont="1" applyFill="1" applyBorder="1" applyAlignment="1">
      <alignment horizontal="left" vertical="top" indent="1"/>
    </xf>
    <xf numFmtId="0" fontId="50" fillId="33" borderId="46" xfId="0" applyFont="1" applyFill="1" applyBorder="1" applyAlignment="1">
      <alignment horizontal="left" vertical="top" indent="1"/>
    </xf>
    <xf numFmtId="0" fontId="49" fillId="33" borderId="46" xfId="0" applyFont="1" applyFill="1" applyBorder="1" applyAlignment="1">
      <alignment horizontal="left" vertical="top" indent="1"/>
    </xf>
    <xf numFmtId="0" fontId="38" fillId="0" borderId="21" xfId="48" applyFill="1" applyBorder="1" applyAlignment="1">
      <alignment vertical="top"/>
    </xf>
    <xf numFmtId="0" fontId="57" fillId="0" borderId="0" xfId="0" applyFont="1" applyAlignment="1">
      <alignment vertical="center" wrapText="1"/>
    </xf>
    <xf numFmtId="0" fontId="40" fillId="0" borderId="21" xfId="50" applyBorder="1" applyAlignment="1">
      <alignment horizontal="left" vertical="center"/>
    </xf>
    <xf numFmtId="0" fontId="40" fillId="0" borderId="0" xfId="50" applyAlignment="1">
      <alignment horizontal="left" vertical="center"/>
    </xf>
    <xf numFmtId="0" fontId="40" fillId="0" borderId="9" xfId="50" applyBorder="1" applyAlignment="1">
      <alignment horizontal="left" vertical="center"/>
    </xf>
    <xf numFmtId="164" fontId="58" fillId="0" borderId="17" xfId="0" applyNumberFormat="1" applyFont="1" applyFill="1" applyBorder="1" applyAlignment="1">
      <alignment horizontal="left"/>
    </xf>
    <xf numFmtId="164" fontId="58" fillId="0" borderId="27" xfId="0" applyNumberFormat="1" applyFont="1" applyFill="1" applyBorder="1" applyAlignment="1">
      <alignment horizontal="left"/>
    </xf>
    <xf numFmtId="49" fontId="50" fillId="33" borderId="30" xfId="0" applyNumberFormat="1" applyFont="1" applyFill="1" applyBorder="1" applyAlignment="1">
      <alignment horizontal="left" indent="1"/>
    </xf>
    <xf numFmtId="49" fontId="50" fillId="33" borderId="9" xfId="0" applyNumberFormat="1" applyFont="1" applyFill="1" applyBorder="1" applyAlignment="1">
      <alignment horizontal="left" indent="1"/>
    </xf>
    <xf numFmtId="164" fontId="49" fillId="33" borderId="44" xfId="0" applyNumberFormat="1" applyFont="1" applyFill="1" applyBorder="1" applyAlignment="1">
      <alignment horizontal="left" vertical="top" indent="1"/>
    </xf>
    <xf numFmtId="164" fontId="49" fillId="33" borderId="20" xfId="0" applyNumberFormat="1" applyFont="1" applyFill="1" applyBorder="1" applyAlignment="1">
      <alignment horizontal="left" vertical="top" indent="1"/>
    </xf>
    <xf numFmtId="0" fontId="39" fillId="0" borderId="48" xfId="49" applyBorder="1" applyAlignment="1">
      <alignment horizontal="center" vertical="center"/>
    </xf>
    <xf numFmtId="0" fontId="39" fillId="0" borderId="49" xfId="49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9"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ont>
        <b/>
        <color theme="1"/>
      </font>
      <border>
        <left/>
        <right/>
        <top/>
        <bottom/>
      </border>
    </dxf>
    <dxf>
      <font>
        <b/>
        <color theme="1"/>
      </font>
      <border>
        <top style="double">
          <color theme="6" tint="-0.24993999302387238"/>
        </top>
      </border>
    </dxf>
    <dxf>
      <font>
        <color theme="0"/>
      </font>
      <fill>
        <patternFill patternType="solid">
          <fgColor theme="4"/>
          <bgColor theme="7"/>
        </patternFill>
      </fill>
      <border>
        <left/>
        <right/>
        <top/>
        <bottom/>
      </border>
    </dxf>
    <dxf>
      <font>
        <color theme="1"/>
      </font>
      <fill>
        <patternFill>
          <bgColor theme="0"/>
        </patternFill>
      </fill>
      <border>
        <left style="dashDotDot">
          <color theme="9" tint="0.5999600291252136"/>
        </left>
        <right style="dashDotDot">
          <color theme="9" tint="0.5999600291252136"/>
        </right>
        <top/>
        <bottom/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9" tint="-0.24997000396251678"/>
      </font>
    </dxf>
    <dxf>
      <font>
        <b/>
        <color theme="9" tint="-0.24997000396251678"/>
      </font>
    </dxf>
    <dxf>
      <font>
        <b/>
        <color theme="9" tint="-0.24997000396251678"/>
      </font>
      <border>
        <top style="thin">
          <color theme="9"/>
        </top>
      </border>
    </dxf>
    <dxf>
      <font>
        <b/>
        <color theme="9" tint="-0.24997000396251678"/>
      </font>
      <border>
        <bottom style="thin">
          <color theme="9"/>
        </bottom>
      </border>
    </dxf>
    <dxf>
      <font>
        <color theme="9" tint="-0.24997000396251678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1" defaultTableStyle="TableStyleMedium2" defaultPivotStyle="PivotStyleLight16">
    <tableStyle name="СтильТаблицыСветлый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P33"/>
  <sheetViews>
    <sheetView showGridLines="0" tabSelected="1" zoomScalePageLayoutView="84" workbookViewId="0" topLeftCell="A1">
      <selection activeCell="R27" sqref="R27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" width="41.00390625" style="0" bestFit="1" customWidth="1"/>
    <col min="17" max="16384" width="8.7109375" style="1" customWidth="1"/>
  </cols>
  <sheetData>
    <row r="1" ht="11.25" customHeight="1"/>
    <row r="2" spans="1:16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49">
        <v>2018</v>
      </c>
      <c r="P2" s="69"/>
    </row>
    <row r="3" spans="1:16" ht="21" customHeight="1">
      <c r="A3" s="4"/>
      <c r="B3" s="68" t="s">
        <v>0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50"/>
      <c r="P3" s="69"/>
    </row>
    <row r="4" spans="1:16" ht="18" customHeight="1">
      <c r="A4" s="4"/>
      <c r="B4" s="68"/>
      <c r="C4" s="10">
        <f>IF(DAY(ЯнвВс1)=1,ЯнвВс1-6,ЯнвВс1+1)</f>
        <v>43101</v>
      </c>
      <c r="D4" s="10">
        <f>IF(DAY(ЯнвВс1)=1,ЯнвВс1-5,ЯнвВс1+2)</f>
        <v>43102</v>
      </c>
      <c r="E4" s="10">
        <f>IF(DAY(ЯнвВс1)=1,ЯнвВс1-4,ЯнвВс1+3)</f>
        <v>43103</v>
      </c>
      <c r="F4" s="10">
        <f>IF(DAY(ЯнвВс1)=1,ЯнвВс1-3,ЯнвВс1+4)</f>
        <v>43104</v>
      </c>
      <c r="G4" s="10">
        <f>IF(DAY(ЯнвВс1)=1,ЯнвВс1-2,ЯнвВс1+5)</f>
        <v>43105</v>
      </c>
      <c r="H4" s="10">
        <f>IF(DAY(ЯнвВс1)=1,ЯнвВс1-1,ЯнвВс1+6)</f>
        <v>43106</v>
      </c>
      <c r="I4" s="10">
        <f>IF(DAY(ЯнвВс1)=1,ЯнвВс1,ЯнвВс1+7)</f>
        <v>43107</v>
      </c>
      <c r="J4" s="5"/>
      <c r="K4" s="46"/>
      <c r="L4" s="16">
        <v>10</v>
      </c>
      <c r="M4" s="47" t="s">
        <v>21</v>
      </c>
      <c r="N4" s="48"/>
      <c r="P4" s="25"/>
    </row>
    <row r="5" spans="1:16" ht="18" customHeight="1">
      <c r="A5" s="4"/>
      <c r="B5" s="26"/>
      <c r="C5" s="10">
        <f>IF(DAY(ЯнвВс1)=1,ЯнвВс1+1,ЯнвВс1+8)</f>
        <v>43108</v>
      </c>
      <c r="D5" s="10">
        <f>IF(DAY(ЯнвВс1)=1,ЯнвВс1+2,ЯнвВс1+9)</f>
        <v>43109</v>
      </c>
      <c r="E5" s="10">
        <f>IF(DAY(ЯнвВс1)=1,ЯнвВс1+3,ЯнвВс1+10)</f>
        <v>43110</v>
      </c>
      <c r="F5" s="10">
        <f>IF(DAY(ЯнвВс1)=1,ЯнвВс1+4,ЯнвВс1+11)</f>
        <v>43111</v>
      </c>
      <c r="G5" s="10">
        <f>IF(DAY(ЯнвВс1)=1,ЯнвВс1+5,ЯнвВс1+12)</f>
        <v>43112</v>
      </c>
      <c r="H5" s="10">
        <f>IF(DAY(ЯнвВс1)=1,ЯнвВс1+6,ЯнвВс1+13)</f>
        <v>43113</v>
      </c>
      <c r="I5" s="10">
        <f>IF(DAY(ЯнвВс1)=1,ЯнвВс1+7,ЯнвВс1+14)</f>
        <v>43114</v>
      </c>
      <c r="J5" s="5"/>
      <c r="K5" s="32"/>
      <c r="L5" s="17">
        <v>12</v>
      </c>
      <c r="M5" s="33" t="s">
        <v>22</v>
      </c>
      <c r="N5" s="34"/>
      <c r="P5" s="25"/>
    </row>
    <row r="6" spans="1:14" ht="18" customHeight="1">
      <c r="A6" s="4"/>
      <c r="B6" s="26"/>
      <c r="C6" s="10">
        <f>IF(DAY(ЯнвВс1)=1,ЯнвВс1+8,ЯнвВс1+15)</f>
        <v>43115</v>
      </c>
      <c r="D6" s="10">
        <f>IF(DAY(ЯнвВс1)=1,ЯнвВс1+9,ЯнвВс1+16)</f>
        <v>43116</v>
      </c>
      <c r="E6" s="10">
        <f>IF(DAY(ЯнвВс1)=1,ЯнвВс1+10,ЯнвВс1+17)</f>
        <v>43117</v>
      </c>
      <c r="F6" s="10">
        <f>IF(DAY(ЯнвВс1)=1,ЯнвВс1+11,ЯнвВс1+18)</f>
        <v>43118</v>
      </c>
      <c r="G6" s="10">
        <f>IF(DAY(ЯнвВс1)=1,ЯнвВс1+12,ЯнвВс1+19)</f>
        <v>43119</v>
      </c>
      <c r="H6" s="10">
        <f>IF(DAY(ЯнвВс1)=1,ЯнвВс1+13,ЯнвВс1+20)</f>
        <v>43120</v>
      </c>
      <c r="I6" s="10">
        <f>IF(DAY(ЯнвВс1)=1,ЯнвВс1+14,ЯнвВс1+21)</f>
        <v>43121</v>
      </c>
      <c r="J6" s="5"/>
      <c r="K6" s="32"/>
      <c r="L6" s="17">
        <v>25</v>
      </c>
      <c r="M6" s="33" t="s">
        <v>23</v>
      </c>
      <c r="N6" s="34"/>
    </row>
    <row r="7" spans="1:14" ht="18" customHeight="1">
      <c r="A7" s="4"/>
      <c r="B7" s="26"/>
      <c r="C7" s="10">
        <f>IF(DAY(ЯнвВс1)=1,ЯнвВс1+15,ЯнвВс1+22)</f>
        <v>43122</v>
      </c>
      <c r="D7" s="10">
        <f>IF(DAY(ЯнвВс1)=1,ЯнвВс1+16,ЯнвВс1+23)</f>
        <v>43123</v>
      </c>
      <c r="E7" s="10">
        <f>IF(DAY(ЯнвВс1)=1,ЯнвВс1+17,ЯнвВс1+24)</f>
        <v>43124</v>
      </c>
      <c r="F7" s="10">
        <f>IF(DAY(ЯнвВс1)=1,ЯнвВс1+18,ЯнвВс1+25)</f>
        <v>43125</v>
      </c>
      <c r="G7" s="10">
        <f>IF(DAY(ЯнвВс1)=1,ЯнвВс1+19,ЯнвВс1+26)</f>
        <v>43126</v>
      </c>
      <c r="H7" s="10">
        <f>IF(DAY(ЯнвВс1)=1,ЯнвВс1+20,ЯнвВс1+27)</f>
        <v>43127</v>
      </c>
      <c r="I7" s="10">
        <f>IF(DAY(ЯнвВс1)=1,ЯнвВс1+21,ЯнвВс1+28)</f>
        <v>43128</v>
      </c>
      <c r="J7" s="5"/>
      <c r="K7" s="11"/>
      <c r="L7" s="17"/>
      <c r="M7" s="33"/>
      <c r="N7" s="34"/>
    </row>
    <row r="8" spans="1:14" ht="18.75" customHeight="1">
      <c r="A8" s="4"/>
      <c r="B8" s="26"/>
      <c r="C8" s="10">
        <f>IF(DAY(ЯнвВс1)=1,ЯнвВс1+22,ЯнвВс1+29)</f>
        <v>43129</v>
      </c>
      <c r="D8" s="10">
        <f>IF(DAY(ЯнвВс1)=1,ЯнвВс1+23,ЯнвВс1+30)</f>
        <v>43130</v>
      </c>
      <c r="E8" s="10">
        <f>IF(DAY(ЯнвВс1)=1,ЯнвВс1+24,ЯнвВс1+31)</f>
        <v>43131</v>
      </c>
      <c r="F8" s="10">
        <f>IF(DAY(ЯнвВс1)=1,ЯнвВс1+25,ЯнвВс1+32)</f>
        <v>43132</v>
      </c>
      <c r="G8" s="10">
        <f>IF(DAY(ЯнвВс1)=1,ЯнвВс1+26,ЯнвВс1+33)</f>
        <v>43133</v>
      </c>
      <c r="H8" s="10">
        <f>IF(DAY(ЯнвВс1)=1,ЯнвВс1+27,ЯнвВс1+34)</f>
        <v>43134</v>
      </c>
      <c r="I8" s="10">
        <f>IF(DAY(ЯнвВс1)=1,ЯнвВс1+28,ЯнвВс1+35)</f>
        <v>43135</v>
      </c>
      <c r="J8" s="5"/>
      <c r="K8" s="11"/>
      <c r="L8" s="17"/>
      <c r="M8" s="33"/>
      <c r="N8" s="34"/>
    </row>
    <row r="9" spans="1:14" ht="18" customHeight="1">
      <c r="A9" s="4"/>
      <c r="B9" s="26"/>
      <c r="C9" s="10">
        <f>IF(DAY(ЯнвВс1)=1,ЯнвВс1+29,ЯнвВс1+36)</f>
        <v>43136</v>
      </c>
      <c r="D9" s="10">
        <f>IF(DAY(ЯнвВс1)=1,ЯнвВс1+30,ЯнвВс1+37)</f>
        <v>43137</v>
      </c>
      <c r="E9" s="10">
        <f>IF(DAY(ЯнвВс1)=1,ЯнвВс1+31,ЯнвВс1+38)</f>
        <v>43138</v>
      </c>
      <c r="F9" s="10">
        <f>IF(DAY(ЯнвВс1)=1,ЯнвВс1+32,ЯнвВс1+39)</f>
        <v>43139</v>
      </c>
      <c r="G9" s="10">
        <f>IF(DAY(ЯнвВс1)=1,ЯнвВс1+33,ЯнвВс1+40)</f>
        <v>43140</v>
      </c>
      <c r="H9" s="10">
        <f>IF(DAY(ЯнвВс1)=1,ЯнвВс1+34,ЯнвВс1+41)</f>
        <v>43141</v>
      </c>
      <c r="I9" s="10">
        <f>IF(DAY(ЯнвВс1)=1,ЯнвВс1+35,ЯнвВс1+42)</f>
        <v>43142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conditionalFormatting sqref="C4:H4">
    <cfRule type="expression" priority="4" dxfId="2" stopIfTrue="1">
      <formula>DAY(C4)&gt;8</formula>
    </cfRule>
  </conditionalFormatting>
  <conditionalFormatting sqref="C8:I10">
    <cfRule type="expression" priority="3" dxfId="2" stopIfTrue="1">
      <formula>AND(DAY(C8)&gt;=1,DAY(C8)&lt;=15)</formula>
    </cfRule>
  </conditionalFormatting>
  <conditionalFormatting sqref="C4:I9">
    <cfRule type="expression" priority="15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2" sqref="K4:K32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8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IF(DAY(ОктВс1)=1,ОктВс1-6,ОктВс1+1)</f>
        <v>43374</v>
      </c>
      <c r="D4" s="10">
        <f>IF(DAY(ОктВс1)=1,ОктВс1-5,ОктВс1+2)</f>
        <v>43375</v>
      </c>
      <c r="E4" s="10">
        <f>IF(DAY(ОктВс1)=1,ОктВс1-4,ОктВс1+3)</f>
        <v>43376</v>
      </c>
      <c r="F4" s="10">
        <f>IF(DAY(ОктВс1)=1,ОктВс1-3,ОктВс1+4)</f>
        <v>43377</v>
      </c>
      <c r="G4" s="10">
        <f>IF(DAY(ОктВс1)=1,ОктВс1-2,ОктВс1+5)</f>
        <v>43378</v>
      </c>
      <c r="H4" s="10">
        <f>IF(DAY(ОктВс1)=1,ОктВс1-1,ОктВс1+6)</f>
        <v>43379</v>
      </c>
      <c r="I4" s="10">
        <f>IF(DAY(ОктВс1)=1,ОктВс1,ОктВс1+7)</f>
        <v>43380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IF(DAY(ОктВс1)=1,ОктВс1+1,ОктВс1+8)</f>
        <v>43381</v>
      </c>
      <c r="D5" s="10">
        <f>IF(DAY(ОктВс1)=1,ОктВс1+2,ОктВс1+9)</f>
        <v>43382</v>
      </c>
      <c r="E5" s="10">
        <f>IF(DAY(ОктВс1)=1,ОктВс1+3,ОктВс1+10)</f>
        <v>43383</v>
      </c>
      <c r="F5" s="10">
        <f>IF(DAY(ОктВс1)=1,ОктВс1+4,ОктВс1+11)</f>
        <v>43384</v>
      </c>
      <c r="G5" s="10">
        <f>IF(DAY(ОктВс1)=1,ОктВс1+5,ОктВс1+12)</f>
        <v>43385</v>
      </c>
      <c r="H5" s="10">
        <f>IF(DAY(ОктВс1)=1,ОктВс1+6,ОктВс1+13)</f>
        <v>43386</v>
      </c>
      <c r="I5" s="10">
        <f>IF(DAY(ОктВс1)=1,ОктВс1+7,ОктВс1+14)</f>
        <v>43387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IF(DAY(ОктВс1)=1,ОктВс1+8,ОктВс1+15)</f>
        <v>43388</v>
      </c>
      <c r="D6" s="10">
        <f>IF(DAY(ОктВс1)=1,ОктВс1+9,ОктВс1+16)</f>
        <v>43389</v>
      </c>
      <c r="E6" s="10">
        <f>IF(DAY(ОктВс1)=1,ОктВс1+10,ОктВс1+17)</f>
        <v>43390</v>
      </c>
      <c r="F6" s="10">
        <f>IF(DAY(ОктВс1)=1,ОктВс1+11,ОктВс1+18)</f>
        <v>43391</v>
      </c>
      <c r="G6" s="10">
        <f>IF(DAY(ОктВс1)=1,ОктВс1+12,ОктВс1+19)</f>
        <v>43392</v>
      </c>
      <c r="H6" s="10">
        <f>IF(DAY(ОктВс1)=1,ОктВс1+13,ОктВс1+20)</f>
        <v>43393</v>
      </c>
      <c r="I6" s="10">
        <f>IF(DAY(ОктВс1)=1,ОктВс1+14,ОктВс1+21)</f>
        <v>43394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IF(DAY(ОктВс1)=1,ОктВс1+15,ОктВс1+22)</f>
        <v>43395</v>
      </c>
      <c r="D7" s="10">
        <f>IF(DAY(ОктВс1)=1,ОктВс1+16,ОктВс1+23)</f>
        <v>43396</v>
      </c>
      <c r="E7" s="10">
        <f>IF(DAY(ОктВс1)=1,ОктВс1+17,ОктВс1+24)</f>
        <v>43397</v>
      </c>
      <c r="F7" s="10">
        <f>IF(DAY(ОктВс1)=1,ОктВс1+18,ОктВс1+25)</f>
        <v>43398</v>
      </c>
      <c r="G7" s="10">
        <f>IF(DAY(ОктВс1)=1,ОктВс1+19,ОктВс1+26)</f>
        <v>43399</v>
      </c>
      <c r="H7" s="10">
        <f>IF(DAY(ОктВс1)=1,ОктВс1+20,ОктВс1+27)</f>
        <v>43400</v>
      </c>
      <c r="I7" s="10">
        <f>IF(DAY(ОктВс1)=1,ОктВс1+21,ОктВс1+28)</f>
        <v>43401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IF(DAY(ОктВс1)=1,ОктВс1+22,ОктВс1+29)</f>
        <v>43402</v>
      </c>
      <c r="D8" s="10">
        <f>IF(DAY(ОктВс1)=1,ОктВс1+23,ОктВс1+30)</f>
        <v>43403</v>
      </c>
      <c r="E8" s="10">
        <f>IF(DAY(ОктВс1)=1,ОктВс1+24,ОктВс1+31)</f>
        <v>43404</v>
      </c>
      <c r="F8" s="10">
        <f>IF(DAY(ОктВс1)=1,ОктВс1+25,ОктВс1+32)</f>
        <v>43405</v>
      </c>
      <c r="G8" s="10">
        <f>IF(DAY(ОктВс1)=1,ОктВс1+26,ОктВс1+33)</f>
        <v>43406</v>
      </c>
      <c r="H8" s="10">
        <f>IF(DAY(ОктВс1)=1,ОктВс1+27,ОктВс1+34)</f>
        <v>43407</v>
      </c>
      <c r="I8" s="10">
        <f>IF(DAY(ОктВс1)=1,ОктВс1+28,ОктВс1+35)</f>
        <v>43408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IF(DAY(ОктВс1)=1,ОктВс1+29,ОктВс1+36)</f>
        <v>43409</v>
      </c>
      <c r="D9" s="10">
        <f>IF(DAY(ОктВс1)=1,ОктВс1+30,ОктВс1+37)</f>
        <v>43410</v>
      </c>
      <c r="E9" s="10">
        <f>IF(DAY(ОктВс1)=1,ОктВс1+31,ОктВс1+38)</f>
        <v>43411</v>
      </c>
      <c r="F9" s="10">
        <f>IF(DAY(ОктВс1)=1,ОктВс1+32,ОктВс1+39)</f>
        <v>43412</v>
      </c>
      <c r="G9" s="10">
        <f>IF(DAY(ОктВс1)=1,ОктВс1+33,ОктВс1+40)</f>
        <v>43413</v>
      </c>
      <c r="H9" s="10">
        <f>IF(DAY(ОктВс1)=1,ОктВс1+34,ОктВс1+41)</f>
        <v>43414</v>
      </c>
      <c r="I9" s="10">
        <f>IF(DAY(ОктВс1)=1,ОктВс1+35,ОктВс1+42)</f>
        <v>43415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3" sqref="K4:K3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9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IF(DAY(НояВс1)=1,НояВс1-6,НояВс1+1)</f>
        <v>43402</v>
      </c>
      <c r="D4" s="10">
        <f>IF(DAY(НояВс1)=1,НояВс1-5,НояВс1+2)</f>
        <v>43403</v>
      </c>
      <c r="E4" s="10">
        <f>IF(DAY(НояВс1)=1,НояВс1-4,НояВс1+3)</f>
        <v>43404</v>
      </c>
      <c r="F4" s="10">
        <f>IF(DAY(НояВс1)=1,НояВс1-3,НояВс1+4)</f>
        <v>43405</v>
      </c>
      <c r="G4" s="10">
        <f>IF(DAY(НояВс1)=1,НояВс1-2,НояВс1+5)</f>
        <v>43406</v>
      </c>
      <c r="H4" s="10">
        <f>IF(DAY(НояВс1)=1,НояВс1-1,НояВс1+6)</f>
        <v>43407</v>
      </c>
      <c r="I4" s="10">
        <f>IF(DAY(НояВс1)=1,НояВс1,НояВс1+7)</f>
        <v>43408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IF(DAY(НояВс1)=1,НояВс1+1,НояВс1+8)</f>
        <v>43409</v>
      </c>
      <c r="D5" s="10">
        <f>IF(DAY(НояВс1)=1,НояВс1+2,НояВс1+9)</f>
        <v>43410</v>
      </c>
      <c r="E5" s="10">
        <f>IF(DAY(НояВс1)=1,НояВс1+3,НояВс1+10)</f>
        <v>43411</v>
      </c>
      <c r="F5" s="10">
        <f>IF(DAY(НояВс1)=1,НояВс1+4,НояВс1+11)</f>
        <v>43412</v>
      </c>
      <c r="G5" s="10">
        <f>IF(DAY(НояВс1)=1,НояВс1+5,НояВс1+12)</f>
        <v>43413</v>
      </c>
      <c r="H5" s="10">
        <f>IF(DAY(НояВс1)=1,НояВс1+6,НояВс1+13)</f>
        <v>43414</v>
      </c>
      <c r="I5" s="10">
        <f>IF(DAY(НояВс1)=1,НояВс1+7,НояВс1+14)</f>
        <v>43415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IF(DAY(НояВс1)=1,НояВс1+8,НояВс1+15)</f>
        <v>43416</v>
      </c>
      <c r="D6" s="10">
        <f>IF(DAY(НояВс1)=1,НояВс1+9,НояВс1+16)</f>
        <v>43417</v>
      </c>
      <c r="E6" s="10">
        <f>IF(DAY(НояВс1)=1,НояВс1+10,НояВс1+17)</f>
        <v>43418</v>
      </c>
      <c r="F6" s="10">
        <f>IF(DAY(НояВс1)=1,НояВс1+11,НояВс1+18)</f>
        <v>43419</v>
      </c>
      <c r="G6" s="10">
        <f>IF(DAY(НояВс1)=1,НояВс1+12,НояВс1+19)</f>
        <v>43420</v>
      </c>
      <c r="H6" s="10">
        <f>IF(DAY(НояВс1)=1,НояВс1+13,НояВс1+20)</f>
        <v>43421</v>
      </c>
      <c r="I6" s="10">
        <f>IF(DAY(НояВс1)=1,НояВс1+14,НояВс1+21)</f>
        <v>43422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IF(DAY(НояВс1)=1,НояВс1+15,НояВс1+22)</f>
        <v>43423</v>
      </c>
      <c r="D7" s="10">
        <f>IF(DAY(НояВс1)=1,НояВс1+16,НояВс1+23)</f>
        <v>43424</v>
      </c>
      <c r="E7" s="10">
        <f>IF(DAY(НояВс1)=1,НояВс1+17,НояВс1+24)</f>
        <v>43425</v>
      </c>
      <c r="F7" s="10">
        <f>IF(DAY(НояВс1)=1,НояВс1+18,НояВс1+25)</f>
        <v>43426</v>
      </c>
      <c r="G7" s="10">
        <f>IF(DAY(НояВс1)=1,НояВс1+19,НояВс1+26)</f>
        <v>43427</v>
      </c>
      <c r="H7" s="10">
        <f>IF(DAY(НояВс1)=1,НояВс1+20,НояВс1+27)</f>
        <v>43428</v>
      </c>
      <c r="I7" s="10">
        <f>IF(DAY(НояВс1)=1,НояВс1+21,НояВс1+28)</f>
        <v>43429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IF(DAY(НояВс1)=1,НояВс1+22,НояВс1+29)</f>
        <v>43430</v>
      </c>
      <c r="D8" s="10">
        <f>IF(DAY(НояВс1)=1,НояВс1+23,НояВс1+30)</f>
        <v>43431</v>
      </c>
      <c r="E8" s="10">
        <f>IF(DAY(НояВс1)=1,НояВс1+24,НояВс1+31)</f>
        <v>43432</v>
      </c>
      <c r="F8" s="10">
        <f>IF(DAY(НояВс1)=1,НояВс1+25,НояВс1+32)</f>
        <v>43433</v>
      </c>
      <c r="G8" s="10">
        <f>IF(DAY(НояВс1)=1,НояВс1+26,НояВс1+33)</f>
        <v>43434</v>
      </c>
      <c r="H8" s="10">
        <f>IF(DAY(НояВс1)=1,НояВс1+27,НояВс1+34)</f>
        <v>43435</v>
      </c>
      <c r="I8" s="10">
        <f>IF(DAY(НояВс1)=1,НояВс1+28,НояВс1+35)</f>
        <v>43436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IF(DAY(НояВс1)=1,НояВс1+29,НояВс1+36)</f>
        <v>43437</v>
      </c>
      <c r="D9" s="10">
        <f>IF(DAY(НояВс1)=1,НояВс1+30,НояВс1+37)</f>
        <v>43438</v>
      </c>
      <c r="E9" s="10">
        <f>IF(DAY(НояВс1)=1,НояВс1+31,НояВс1+38)</f>
        <v>43439</v>
      </c>
      <c r="F9" s="10">
        <f>IF(DAY(НояВс1)=1,НояВс1+32,НояВс1+39)</f>
        <v>43440</v>
      </c>
      <c r="G9" s="10">
        <f>IF(DAY(НояВс1)=1,НояВс1+33,НояВс1+40)</f>
        <v>43441</v>
      </c>
      <c r="H9" s="10">
        <f>IF(DAY(НояВс1)=1,НояВс1+34,НояВс1+41)</f>
        <v>43442</v>
      </c>
      <c r="I9" s="10">
        <f>IF(DAY(НояВс1)=1,НояВс1+35,НояВс1+42)</f>
        <v>43443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2" sqref="K4:K32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10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IF(DAY(ДекВс1)=1,ДекВс1-6,ДекВс1+1)</f>
        <v>43430</v>
      </c>
      <c r="D4" s="10">
        <f>IF(DAY(ДекВс1)=1,ДекВс1-5,ДекВс1+2)</f>
        <v>43431</v>
      </c>
      <c r="E4" s="10">
        <f>IF(DAY(ДекВс1)=1,ДекВс1-4,ДекВс1+3)</f>
        <v>43432</v>
      </c>
      <c r="F4" s="10">
        <f>IF(DAY(ДекВс1)=1,ДекВс1-3,ДекВс1+4)</f>
        <v>43433</v>
      </c>
      <c r="G4" s="10">
        <f>IF(DAY(ДекВс1)=1,ДекВс1-2,ДекВс1+5)</f>
        <v>43434</v>
      </c>
      <c r="H4" s="10">
        <f>IF(DAY(ДекВс1)=1,ДекВс1-1,ДекВс1+6)</f>
        <v>43435</v>
      </c>
      <c r="I4" s="10">
        <f>IF(DAY(ДекВс1)=1,ДекВс1,ДекВс1+7)</f>
        <v>43436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IF(DAY(ДекВс1)=1,ДекВс1+1,ДекВс1+8)</f>
        <v>43437</v>
      </c>
      <c r="D5" s="10">
        <f>IF(DAY(ДекВс1)=1,ДекВс1+2,ДекВс1+9)</f>
        <v>43438</v>
      </c>
      <c r="E5" s="10">
        <f>IF(DAY(ДекВс1)=1,ДекВс1+3,ДекВс1+10)</f>
        <v>43439</v>
      </c>
      <c r="F5" s="10">
        <f>IF(DAY(ДекВс1)=1,ДекВс1+4,ДекВс1+11)</f>
        <v>43440</v>
      </c>
      <c r="G5" s="10">
        <f>IF(DAY(ДекВс1)=1,ДекВс1+5,ДекВс1+12)</f>
        <v>43441</v>
      </c>
      <c r="H5" s="10">
        <f>IF(DAY(ДекВс1)=1,ДекВс1+6,ДекВс1+13)</f>
        <v>43442</v>
      </c>
      <c r="I5" s="10">
        <f>IF(DAY(ДекВс1)=1,ДекВс1+7,ДекВс1+14)</f>
        <v>43443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IF(DAY(ДекВс1)=1,ДекВс1+8,ДекВс1+15)</f>
        <v>43444</v>
      </c>
      <c r="D6" s="10">
        <f>IF(DAY(ДекВс1)=1,ДекВс1+9,ДекВс1+16)</f>
        <v>43445</v>
      </c>
      <c r="E6" s="10">
        <f>IF(DAY(ДекВс1)=1,ДекВс1+10,ДекВс1+17)</f>
        <v>43446</v>
      </c>
      <c r="F6" s="10">
        <f>IF(DAY(ДекВс1)=1,ДекВс1+11,ДекВс1+18)</f>
        <v>43447</v>
      </c>
      <c r="G6" s="10">
        <f>IF(DAY(ДекВс1)=1,ДекВс1+12,ДекВс1+19)</f>
        <v>43448</v>
      </c>
      <c r="H6" s="10">
        <f>IF(DAY(ДекВс1)=1,ДекВс1+13,ДекВс1+20)</f>
        <v>43449</v>
      </c>
      <c r="I6" s="10">
        <f>IF(DAY(ДекВс1)=1,ДекВс1+14,ДекВс1+21)</f>
        <v>43450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IF(DAY(ДекВс1)=1,ДекВс1+15,ДекВс1+22)</f>
        <v>43451</v>
      </c>
      <c r="D7" s="10">
        <f>IF(DAY(ДекВс1)=1,ДекВс1+16,ДекВс1+23)</f>
        <v>43452</v>
      </c>
      <c r="E7" s="10">
        <f>IF(DAY(ДекВс1)=1,ДекВс1+17,ДекВс1+24)</f>
        <v>43453</v>
      </c>
      <c r="F7" s="10">
        <f>IF(DAY(ДекВс1)=1,ДекВс1+18,ДекВс1+25)</f>
        <v>43454</v>
      </c>
      <c r="G7" s="10">
        <f>IF(DAY(ДекВс1)=1,ДекВс1+19,ДекВс1+26)</f>
        <v>43455</v>
      </c>
      <c r="H7" s="10">
        <f>IF(DAY(ДекВс1)=1,ДекВс1+20,ДекВс1+27)</f>
        <v>43456</v>
      </c>
      <c r="I7" s="10">
        <f>IF(DAY(ДекВс1)=1,ДекВс1+21,ДекВс1+28)</f>
        <v>43457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IF(DAY(ДекВс1)=1,ДекВс1+22,ДекВс1+29)</f>
        <v>43458</v>
      </c>
      <c r="D8" s="10">
        <f>IF(DAY(ДекВс1)=1,ДекВс1+23,ДекВс1+30)</f>
        <v>43459</v>
      </c>
      <c r="E8" s="10">
        <f>IF(DAY(ДекВс1)=1,ДекВс1+24,ДекВс1+31)</f>
        <v>43460</v>
      </c>
      <c r="F8" s="10">
        <f>IF(DAY(ДекВс1)=1,ДекВс1+25,ДекВс1+32)</f>
        <v>43461</v>
      </c>
      <c r="G8" s="10">
        <f>IF(DAY(ДекВс1)=1,ДекВс1+26,ДекВс1+33)</f>
        <v>43462</v>
      </c>
      <c r="H8" s="10">
        <f>IF(DAY(ДекВс1)=1,ДекВс1+27,ДекВс1+34)</f>
        <v>43463</v>
      </c>
      <c r="I8" s="10">
        <f>IF(DAY(ДекВс1)=1,ДекВс1+28,ДекВс1+35)</f>
        <v>43464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IF(DAY(ДекВс1)=1,ДекВс1+29,ДекВс1+36)</f>
        <v>43465</v>
      </c>
      <c r="D9" s="10">
        <f>IF(DAY(ДекВс1)=1,ДекВс1+30,ДекВс1+37)</f>
        <v>43466</v>
      </c>
      <c r="E9" s="10">
        <f>IF(DAY(ДекВс1)=1,ДекВс1+31,ДекВс1+38)</f>
        <v>43467</v>
      </c>
      <c r="F9" s="10">
        <f>IF(DAY(ДекВс1)=1,ДекВс1+32,ДекВс1+39)</f>
        <v>43468</v>
      </c>
      <c r="G9" s="10">
        <f>IF(DAY(ДекВс1)=1,ДекВс1+33,ДекВс1+40)</f>
        <v>43469</v>
      </c>
      <c r="H9" s="10">
        <f>IF(DAY(ДекВс1)=1,ДекВс1+34,ДекВс1+41)</f>
        <v>43470</v>
      </c>
      <c r="I9" s="10">
        <f>IF(DAY(ДекВс1)=1,ДекВс1+35,ДекВс1+42)</f>
        <v>43471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28" sqref="K4:K30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11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IF(DAY(ФевВс1)=1,ФевВс1-6,ФевВс1+1)</f>
        <v>43129</v>
      </c>
      <c r="D4" s="10">
        <f>IF(DAY(ФевВс1)=1,ФевВс1-5,ФевВс1+2)</f>
        <v>43130</v>
      </c>
      <c r="E4" s="10">
        <f>IF(DAY(ФевВс1)=1,ФевВс1-4,ФевВс1+3)</f>
        <v>43131</v>
      </c>
      <c r="F4" s="10">
        <f>IF(DAY(ФевВс1)=1,ФевВс1-3,ФевВс1+4)</f>
        <v>43132</v>
      </c>
      <c r="G4" s="10">
        <f>IF(DAY(ФевВс1)=1,ФевВс1-2,ФевВс1+5)</f>
        <v>43133</v>
      </c>
      <c r="H4" s="10">
        <f>IF(DAY(ФевВс1)=1,ФевВс1-1,ФевВс1+6)</f>
        <v>43134</v>
      </c>
      <c r="I4" s="10">
        <f>IF(DAY(ФевВс1)=1,ФевВс1,ФевВс1+7)</f>
        <v>43135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IF(DAY(ФевВс1)=1,ФевВс1+1,ФевВс1+8)</f>
        <v>43136</v>
      </c>
      <c r="D5" s="10">
        <f>IF(DAY(ФевВс1)=1,ФевВс1+2,ФевВс1+9)</f>
        <v>43137</v>
      </c>
      <c r="E5" s="10">
        <f>IF(DAY(ФевВс1)=1,ФевВс1+3,ФевВс1+10)</f>
        <v>43138</v>
      </c>
      <c r="F5" s="10">
        <f>IF(DAY(ФевВс1)=1,ФевВс1+4,ФевВс1+11)</f>
        <v>43139</v>
      </c>
      <c r="G5" s="10">
        <f>IF(DAY(ФевВс1)=1,ФевВс1+5,ФевВс1+12)</f>
        <v>43140</v>
      </c>
      <c r="H5" s="10">
        <f>IF(DAY(ФевВс1)=1,ФевВс1+6,ФевВс1+13)</f>
        <v>43141</v>
      </c>
      <c r="I5" s="10">
        <f>IF(DAY(ФевВс1)=1,ФевВс1+7,ФевВс1+14)</f>
        <v>43142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IF(DAY(ФевВс1)=1,ФевВс1+8,ФевВс1+15)</f>
        <v>43143</v>
      </c>
      <c r="D6" s="10">
        <f>IF(DAY(ФевВс1)=1,ФевВс1+9,ФевВс1+16)</f>
        <v>43144</v>
      </c>
      <c r="E6" s="10">
        <f>IF(DAY(ФевВс1)=1,ФевВс1+10,ФевВс1+17)</f>
        <v>43145</v>
      </c>
      <c r="F6" s="10">
        <f>IF(DAY(ФевВс1)=1,ФевВс1+11,ФевВс1+18)</f>
        <v>43146</v>
      </c>
      <c r="G6" s="10">
        <f>IF(DAY(ФевВс1)=1,ФевВс1+12,ФевВс1+19)</f>
        <v>43147</v>
      </c>
      <c r="H6" s="10">
        <f>IF(DAY(ФевВс1)=1,ФевВс1+13,ФевВс1+20)</f>
        <v>43148</v>
      </c>
      <c r="I6" s="10">
        <f>IF(DAY(ФевВс1)=1,ФевВс1+14,ФевВс1+21)</f>
        <v>43149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IF(DAY(ФевВс1)=1,ФевВс1+15,ФевВс1+22)</f>
        <v>43150</v>
      </c>
      <c r="D7" s="10">
        <f>IF(DAY(ФевВс1)=1,ФевВс1+16,ФевВс1+23)</f>
        <v>43151</v>
      </c>
      <c r="E7" s="10">
        <f>IF(DAY(ФевВс1)=1,ФевВс1+17,ФевВс1+24)</f>
        <v>43152</v>
      </c>
      <c r="F7" s="10">
        <f>IF(DAY(ФевВс1)=1,ФевВс1+18,ФевВс1+25)</f>
        <v>43153</v>
      </c>
      <c r="G7" s="10">
        <f>IF(DAY(ФевВс1)=1,ФевВс1+19,ФевВс1+26)</f>
        <v>43154</v>
      </c>
      <c r="H7" s="10">
        <f>IF(DAY(ФевВс1)=1,ФевВс1+20,ФевВс1+27)</f>
        <v>43155</v>
      </c>
      <c r="I7" s="10">
        <f>IF(DAY(ФевВс1)=1,ФевВс1+21,ФевВс1+28)</f>
        <v>43156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IF(DAY(ФевВс1)=1,ФевВс1+22,ФевВс1+29)</f>
        <v>43157</v>
      </c>
      <c r="D8" s="10">
        <f>IF(DAY(ФевВс1)=1,ФевВс1+23,ФевВс1+30)</f>
        <v>43158</v>
      </c>
      <c r="E8" s="10">
        <f>IF(DAY(ФевВс1)=1,ФевВс1+24,ФевВс1+31)</f>
        <v>43159</v>
      </c>
      <c r="F8" s="10">
        <f>IF(DAY(ФевВс1)=1,ФевВс1+25,ФевВс1+32)</f>
        <v>43160</v>
      </c>
      <c r="G8" s="10">
        <f>IF(DAY(ФевВс1)=1,ФевВс1+26,ФевВс1+33)</f>
        <v>43161</v>
      </c>
      <c r="H8" s="10">
        <f>IF(DAY(ФевВс1)=1,ФевВс1+27,ФевВс1+34)</f>
        <v>43162</v>
      </c>
      <c r="I8" s="10">
        <f>IF(DAY(ФевВс1)=1,ФевВс1+28,ФевВс1+35)</f>
        <v>43163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IF(DAY(ФевВс1)=1,ФевВс1+29,ФевВс1+36)</f>
        <v>43164</v>
      </c>
      <c r="D9" s="10">
        <f>IF(DAY(ФевВс1)=1,ФевВс1+30,ФевВс1+37)</f>
        <v>43165</v>
      </c>
      <c r="E9" s="10">
        <f>IF(DAY(ФевВс1)=1,ФевВс1+31,ФевВс1+38)</f>
        <v>43166</v>
      </c>
      <c r="F9" s="10">
        <f>IF(DAY(ФевВс1)=1,ФевВс1+32,ФевВс1+39)</f>
        <v>43167</v>
      </c>
      <c r="G9" s="10">
        <f>IF(DAY(ФевВс1)=1,ФевВс1+33,ФевВс1+40)</f>
        <v>43168</v>
      </c>
      <c r="H9" s="10">
        <f>IF(DAY(ФевВс1)=1,ФевВс1+34,ФевВс1+41)</f>
        <v>43169</v>
      </c>
      <c r="I9" s="10">
        <f>IF(DAY(ФевВс1)=1,ФевВс1+35,ФевВс1+42)</f>
        <v>43170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2" sqref="K4:K32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12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IF(DAY(МарВс1)=1,МарВс1-6,МарВс1+1)</f>
        <v>43157</v>
      </c>
      <c r="D4" s="10">
        <f>IF(DAY(МарВс1)=1,МарВс1-5,МарВс1+2)</f>
        <v>43158</v>
      </c>
      <c r="E4" s="10">
        <f>IF(DAY(МарВс1)=1,МарВс1-4,МарВс1+3)</f>
        <v>43159</v>
      </c>
      <c r="F4" s="10">
        <f>IF(DAY(МарВс1)=1,МарВс1-3,МарВс1+4)</f>
        <v>43160</v>
      </c>
      <c r="G4" s="10">
        <f>IF(DAY(МарВс1)=1,МарВс1-2,МарВс1+5)</f>
        <v>43161</v>
      </c>
      <c r="H4" s="10">
        <f>IF(DAY(МарВс1)=1,МарВс1-1,МарВс1+6)</f>
        <v>43162</v>
      </c>
      <c r="I4" s="10">
        <f>IF(DAY(МарВс1)=1,МарВс1,МарВс1+7)</f>
        <v>43163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IF(DAY(МарВс1)=1,МарВс1+1,МарВс1+8)</f>
        <v>43164</v>
      </c>
      <c r="D5" s="10">
        <f>IF(DAY(МарВс1)=1,МарВс1+2,МарВс1+9)</f>
        <v>43165</v>
      </c>
      <c r="E5" s="10">
        <f>IF(DAY(МарВс1)=1,МарВс1+3,МарВс1+10)</f>
        <v>43166</v>
      </c>
      <c r="F5" s="10">
        <f>IF(DAY(МарВс1)=1,МарВс1+4,МарВс1+11)</f>
        <v>43167</v>
      </c>
      <c r="G5" s="10">
        <f>IF(DAY(МарВс1)=1,МарВс1+5,МарВс1+12)</f>
        <v>43168</v>
      </c>
      <c r="H5" s="10">
        <f>IF(DAY(МарВс1)=1,МарВс1+6,МарВс1+13)</f>
        <v>43169</v>
      </c>
      <c r="I5" s="10">
        <f>IF(DAY(МарВс1)=1,МарВс1+7,МарВс1+14)</f>
        <v>43170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IF(DAY(МарВс1)=1,МарВс1+8,МарВс1+15)</f>
        <v>43171</v>
      </c>
      <c r="D6" s="10">
        <f>IF(DAY(МарВс1)=1,МарВс1+9,МарВс1+16)</f>
        <v>43172</v>
      </c>
      <c r="E6" s="10">
        <f>IF(DAY(МарВс1)=1,МарВс1+10,МарВс1+17)</f>
        <v>43173</v>
      </c>
      <c r="F6" s="10">
        <f>IF(DAY(МарВс1)=1,МарВс1+11,МарВс1+18)</f>
        <v>43174</v>
      </c>
      <c r="G6" s="10">
        <f>IF(DAY(МарВс1)=1,МарВс1+12,МарВс1+19)</f>
        <v>43175</v>
      </c>
      <c r="H6" s="10">
        <f>IF(DAY(МарВс1)=1,МарВс1+13,МарВс1+20)</f>
        <v>43176</v>
      </c>
      <c r="I6" s="10">
        <f>IF(DAY(МарВс1)=1,МарВс1+14,МарВс1+21)</f>
        <v>43177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IF(DAY(МарВс1)=1,МарВс1+15,МарВс1+22)</f>
        <v>43178</v>
      </c>
      <c r="D7" s="10">
        <f>IF(DAY(МарВс1)=1,МарВс1+16,МарВс1+23)</f>
        <v>43179</v>
      </c>
      <c r="E7" s="10">
        <f>IF(DAY(МарВс1)=1,МарВс1+17,МарВс1+24)</f>
        <v>43180</v>
      </c>
      <c r="F7" s="10">
        <f>IF(DAY(МарВс1)=1,МарВс1+18,МарВс1+25)</f>
        <v>43181</v>
      </c>
      <c r="G7" s="10">
        <f>IF(DAY(МарВс1)=1,МарВс1+19,МарВс1+26)</f>
        <v>43182</v>
      </c>
      <c r="H7" s="10">
        <f>IF(DAY(МарВс1)=1,МарВс1+20,МарВс1+27)</f>
        <v>43183</v>
      </c>
      <c r="I7" s="10">
        <f>IF(DAY(МарВс1)=1,МарВс1+21,МарВс1+28)</f>
        <v>43184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IF(DAY(МарВс1)=1,МарВс1+22,МарВс1+29)</f>
        <v>43185</v>
      </c>
      <c r="D8" s="10">
        <f>IF(DAY(МарВс1)=1,МарВс1+23,МарВс1+30)</f>
        <v>43186</v>
      </c>
      <c r="E8" s="10">
        <f>IF(DAY(МарВс1)=1,МарВс1+24,МарВс1+31)</f>
        <v>43187</v>
      </c>
      <c r="F8" s="10">
        <f>IF(DAY(МарВс1)=1,МарВс1+25,МарВс1+32)</f>
        <v>43188</v>
      </c>
      <c r="G8" s="10">
        <f>IF(DAY(МарВс1)=1,МарВс1+26,МарВс1+33)</f>
        <v>43189</v>
      </c>
      <c r="H8" s="10">
        <f>IF(DAY(МарВс1)=1,МарВс1+27,МарВс1+34)</f>
        <v>43190</v>
      </c>
      <c r="I8" s="10">
        <f>IF(DAY(МарВс1)=1,МарВс1+28,МарВс1+35)</f>
        <v>43191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IF(DAY(МарВс1)=1,МарВс1+29,МарВс1+36)</f>
        <v>43192</v>
      </c>
      <c r="D9" s="10">
        <f>IF(DAY(МарВс1)=1,МарВс1+30,МарВс1+37)</f>
        <v>43193</v>
      </c>
      <c r="E9" s="10">
        <f>IF(DAY(МарВс1)=1,МарВс1+31,МарВс1+38)</f>
        <v>43194</v>
      </c>
      <c r="F9" s="10">
        <f>IF(DAY(МарВс1)=1,МарВс1+32,МарВс1+39)</f>
        <v>43195</v>
      </c>
      <c r="G9" s="10">
        <f>IF(DAY(МарВс1)=1,МарВс1+33,МарВс1+40)</f>
        <v>43196</v>
      </c>
      <c r="H9" s="10">
        <f>IF(DAY(МарВс1)=1,МарВс1+34,МарВс1+41)</f>
        <v>43197</v>
      </c>
      <c r="I9" s="10">
        <f>IF(DAY(МарВс1)=1,МарВс1+35,МарВс1+42)</f>
        <v>43198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2" sqref="K4:K32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13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IF(DAY(АпрВс1)=1,АпрВс1-6,АпрВс1+1)</f>
        <v>43185</v>
      </c>
      <c r="D4" s="10">
        <f>IF(DAY(АпрВс1)=1,АпрВс1-5,АпрВс1+2)</f>
        <v>43186</v>
      </c>
      <c r="E4" s="10">
        <f>IF(DAY(АпрВс1)=1,АпрВс1-4,АпрВс1+3)</f>
        <v>43187</v>
      </c>
      <c r="F4" s="10">
        <f>IF(DAY(АпрВс1)=1,АпрВс1-3,АпрВс1+4)</f>
        <v>43188</v>
      </c>
      <c r="G4" s="10">
        <f>IF(DAY(АпрВс1)=1,АпрВс1-2,АпрВс1+5)</f>
        <v>43189</v>
      </c>
      <c r="H4" s="10">
        <f>IF(DAY(АпрВс1)=1,АпрВс1-1,АпрВс1+6)</f>
        <v>43190</v>
      </c>
      <c r="I4" s="10">
        <f>IF(DAY(АпрВс1)=1,АпрВс1,АпрВс1+7)</f>
        <v>43191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IF(DAY(АпрВс1)=1,АпрВс1+1,АпрВс1+8)</f>
        <v>43192</v>
      </c>
      <c r="D5" s="10">
        <f>IF(DAY(АпрВс1)=1,АпрВс1+2,АпрВс1+9)</f>
        <v>43193</v>
      </c>
      <c r="E5" s="10">
        <f>IF(DAY(АпрВс1)=1,АпрВс1+3,АпрВс1+10)</f>
        <v>43194</v>
      </c>
      <c r="F5" s="10">
        <f>IF(DAY(АпрВс1)=1,АпрВс1+4,АпрВс1+11)</f>
        <v>43195</v>
      </c>
      <c r="G5" s="10">
        <f>IF(DAY(АпрВс1)=1,АпрВс1+5,АпрВс1+12)</f>
        <v>43196</v>
      </c>
      <c r="H5" s="10">
        <f>IF(DAY(АпрВс1)=1,АпрВс1+6,АпрВс1+13)</f>
        <v>43197</v>
      </c>
      <c r="I5" s="10">
        <f>IF(DAY(АпрВс1)=1,АпрВс1+7,АпрВс1+14)</f>
        <v>43198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IF(DAY(АпрВс1)=1,АпрВс1+8,АпрВс1+15)</f>
        <v>43199</v>
      </c>
      <c r="D6" s="10">
        <f>IF(DAY(АпрВс1)=1,АпрВс1+9,АпрВс1+16)</f>
        <v>43200</v>
      </c>
      <c r="E6" s="10">
        <f>IF(DAY(АпрВс1)=1,АпрВс1+10,АпрВс1+17)</f>
        <v>43201</v>
      </c>
      <c r="F6" s="10">
        <f>IF(DAY(АпрВс1)=1,АпрВс1+11,АпрВс1+18)</f>
        <v>43202</v>
      </c>
      <c r="G6" s="10">
        <f>IF(DAY(АпрВс1)=1,АпрВс1+12,АпрВс1+19)</f>
        <v>43203</v>
      </c>
      <c r="H6" s="10">
        <f>IF(DAY(АпрВс1)=1,АпрВс1+13,АпрВс1+20)</f>
        <v>43204</v>
      </c>
      <c r="I6" s="10">
        <f>IF(DAY(АпрВс1)=1,АпрВс1+14,АпрВс1+21)</f>
        <v>43205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IF(DAY(АпрВс1)=1,АпрВс1+15,АпрВс1+22)</f>
        <v>43206</v>
      </c>
      <c r="D7" s="10">
        <f>IF(DAY(АпрВс1)=1,АпрВс1+16,АпрВс1+23)</f>
        <v>43207</v>
      </c>
      <c r="E7" s="10">
        <f>IF(DAY(АпрВс1)=1,АпрВс1+17,АпрВс1+24)</f>
        <v>43208</v>
      </c>
      <c r="F7" s="10">
        <f>IF(DAY(АпрВс1)=1,АпрВс1+18,АпрВс1+25)</f>
        <v>43209</v>
      </c>
      <c r="G7" s="10">
        <f>IF(DAY(АпрВс1)=1,АпрВс1+19,АпрВс1+26)</f>
        <v>43210</v>
      </c>
      <c r="H7" s="10">
        <f>IF(DAY(АпрВс1)=1,АпрВс1+20,АпрВс1+27)</f>
        <v>43211</v>
      </c>
      <c r="I7" s="10">
        <f>IF(DAY(АпрВс1)=1,АпрВс1+21,АпрВс1+28)</f>
        <v>43212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IF(DAY(АпрВс1)=1,АпрВс1+22,АпрВс1+29)</f>
        <v>43213</v>
      </c>
      <c r="D8" s="10">
        <f>IF(DAY(АпрВс1)=1,АпрВс1+23,АпрВс1+30)</f>
        <v>43214</v>
      </c>
      <c r="E8" s="10">
        <f>IF(DAY(АпрВс1)=1,АпрВс1+24,АпрВс1+31)</f>
        <v>43215</v>
      </c>
      <c r="F8" s="10">
        <f>IF(DAY(АпрВс1)=1,АпрВс1+25,АпрВс1+32)</f>
        <v>43216</v>
      </c>
      <c r="G8" s="10">
        <f>IF(DAY(АпрВс1)=1,АпрВс1+26,АпрВс1+33)</f>
        <v>43217</v>
      </c>
      <c r="H8" s="10">
        <f>IF(DAY(АпрВс1)=1,АпрВс1+27,АпрВс1+34)</f>
        <v>43218</v>
      </c>
      <c r="I8" s="10">
        <f>IF(DAY(АпрВс1)=1,АпрВс1+28,АпрВс1+35)</f>
        <v>43219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IF(DAY(АпрВс1)=1,АпрВс1+29,АпрВс1+36)</f>
        <v>43220</v>
      </c>
      <c r="D9" s="10">
        <f>IF(DAY(АпрВс1)=1,АпрВс1+30,АпрВс1+37)</f>
        <v>43221</v>
      </c>
      <c r="E9" s="10">
        <f>IF(DAY(АпрВс1)=1,АпрВс1+31,АпрВс1+38)</f>
        <v>43222</v>
      </c>
      <c r="F9" s="10">
        <f>IF(DAY(АпрВс1)=1,АпрВс1+32,АпрВс1+39)</f>
        <v>43223</v>
      </c>
      <c r="G9" s="10">
        <f>IF(DAY(АпрВс1)=1,АпрВс1+33,АпрВс1+40)</f>
        <v>43224</v>
      </c>
      <c r="H9" s="10">
        <f>IF(DAY(АпрВс1)=1,АпрВс1+34,АпрВс1+41)</f>
        <v>43225</v>
      </c>
      <c r="I9" s="10">
        <f>IF(DAY(АпрВс1)=1,АпрВс1+35,АпрВс1+42)</f>
        <v>43226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2" sqref="K4:K32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14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IF(DAY(МайВс1)=1,МайВс1-6,МайВс1+1)</f>
        <v>43220</v>
      </c>
      <c r="D4" s="10">
        <f>IF(DAY(МайВс1)=1,МайВс1-5,МайВс1+2)</f>
        <v>43221</v>
      </c>
      <c r="E4" s="10">
        <f>IF(DAY(МайВс1)=1,МайВс1-4,МайВс1+3)</f>
        <v>43222</v>
      </c>
      <c r="F4" s="10">
        <f>IF(DAY(МайВс1)=1,МайВс1-3,МайВс1+4)</f>
        <v>43223</v>
      </c>
      <c r="G4" s="10">
        <f>IF(DAY(МайВс1)=1,МайВс1-2,МайВс1+5)</f>
        <v>43224</v>
      </c>
      <c r="H4" s="10">
        <f>IF(DAY(МайВс1)=1,МайВс1-1,МайВс1+6)</f>
        <v>43225</v>
      </c>
      <c r="I4" s="10">
        <f>IF(DAY(МайВс1)=1,МайВс1,МайВс1+7)</f>
        <v>43226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IF(DAY(МайВс1)=1,МайВс1+1,МайВс1+8)</f>
        <v>43227</v>
      </c>
      <c r="D5" s="10">
        <f>IF(DAY(МайВс1)=1,МайВс1+2,МайВс1+9)</f>
        <v>43228</v>
      </c>
      <c r="E5" s="10">
        <f>IF(DAY(МайВс1)=1,МайВс1+3,МайВс1+10)</f>
        <v>43229</v>
      </c>
      <c r="F5" s="10">
        <f>IF(DAY(МайВс1)=1,МайВс1+4,МайВс1+11)</f>
        <v>43230</v>
      </c>
      <c r="G5" s="10">
        <f>IF(DAY(МайВс1)=1,МайВс1+5,МайВс1+12)</f>
        <v>43231</v>
      </c>
      <c r="H5" s="10">
        <f>IF(DAY(МайВс1)=1,МайВс1+6,МайВс1+13)</f>
        <v>43232</v>
      </c>
      <c r="I5" s="10">
        <f>IF(DAY(МайВс1)=1,МайВс1+7,МайВс1+14)</f>
        <v>43233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IF(DAY(МайВс1)=1,МайВс1+8,МайВс1+15)</f>
        <v>43234</v>
      </c>
      <c r="D6" s="10">
        <f>IF(DAY(МайВс1)=1,МайВс1+9,МайВс1+16)</f>
        <v>43235</v>
      </c>
      <c r="E6" s="10">
        <f>IF(DAY(МайВс1)=1,МайВс1+10,МайВс1+17)</f>
        <v>43236</v>
      </c>
      <c r="F6" s="10">
        <f>IF(DAY(МайВс1)=1,МайВс1+11,МайВс1+18)</f>
        <v>43237</v>
      </c>
      <c r="G6" s="10">
        <f>IF(DAY(МайВс1)=1,МайВс1+12,МайВс1+19)</f>
        <v>43238</v>
      </c>
      <c r="H6" s="10">
        <f>IF(DAY(МайВс1)=1,МайВс1+13,МайВс1+20)</f>
        <v>43239</v>
      </c>
      <c r="I6" s="10">
        <f>IF(DAY(МайВс1)=1,МайВс1+14,МайВс1+21)</f>
        <v>43240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IF(DAY(МайВс1)=1,МайВс1+15,МайВс1+22)</f>
        <v>43241</v>
      </c>
      <c r="D7" s="10">
        <f>IF(DAY(МайВс1)=1,МайВс1+16,МайВс1+23)</f>
        <v>43242</v>
      </c>
      <c r="E7" s="10">
        <f>IF(DAY(МайВс1)=1,МайВс1+17,МайВс1+24)</f>
        <v>43243</v>
      </c>
      <c r="F7" s="10">
        <f>IF(DAY(МайВс1)=1,МайВс1+18,МайВс1+25)</f>
        <v>43244</v>
      </c>
      <c r="G7" s="10">
        <f>IF(DAY(МайВс1)=1,МайВс1+19,МайВс1+26)</f>
        <v>43245</v>
      </c>
      <c r="H7" s="10">
        <f>IF(DAY(МайВс1)=1,МайВс1+20,МайВс1+27)</f>
        <v>43246</v>
      </c>
      <c r="I7" s="10">
        <f>IF(DAY(МайВс1)=1,МайВс1+21,МайВс1+28)</f>
        <v>43247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IF(DAY(МайВс1)=1,МайВс1+22,МайВс1+29)</f>
        <v>43248</v>
      </c>
      <c r="D8" s="10">
        <f>IF(DAY(МайВс1)=1,МайВс1+23,МайВс1+30)</f>
        <v>43249</v>
      </c>
      <c r="E8" s="10">
        <f>IF(DAY(МайВс1)=1,МайВс1+24,МайВс1+31)</f>
        <v>43250</v>
      </c>
      <c r="F8" s="10">
        <f>IF(DAY(МайВс1)=1,МайВс1+25,МайВс1+32)</f>
        <v>43251</v>
      </c>
      <c r="G8" s="10">
        <f>IF(DAY(МайВс1)=1,МайВс1+26,МайВс1+33)</f>
        <v>43252</v>
      </c>
      <c r="H8" s="10">
        <f>IF(DAY(МайВс1)=1,МайВс1+27,МайВс1+34)</f>
        <v>43253</v>
      </c>
      <c r="I8" s="10">
        <f>IF(DAY(МайВс1)=1,МайВс1+28,МайВс1+35)</f>
        <v>43254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IF(DAY(МайВс1)=1,МайВс1+29,МайВс1+36)</f>
        <v>43255</v>
      </c>
      <c r="D9" s="10">
        <f>IF(DAY(МайВс1)=1,МайВс1+30,МайВс1+37)</f>
        <v>43256</v>
      </c>
      <c r="E9" s="10">
        <f>IF(DAY(МайВс1)=1,МайВс1+31,МайВс1+38)</f>
        <v>43257</v>
      </c>
      <c r="F9" s="10">
        <f>IF(DAY(МайВс1)=1,МайВс1+32,МайВс1+39)</f>
        <v>43258</v>
      </c>
      <c r="G9" s="10">
        <f>IF(DAY(МайВс1)=1,МайВс1+33,МайВс1+40)</f>
        <v>43259</v>
      </c>
      <c r="H9" s="10">
        <f>IF(DAY(МайВс1)=1,МайВс1+34,МайВс1+41)</f>
        <v>43260</v>
      </c>
      <c r="I9" s="10">
        <f>IF(DAY(МайВс1)=1,МайВс1+35,МайВс1+42)</f>
        <v>43261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2" sqref="K4:K32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15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IF(DAY(ИюнВс1)=1,ИюнВс1-6,ИюнВс1+1)</f>
        <v>43248</v>
      </c>
      <c r="D4" s="10">
        <f>IF(DAY(ИюнВс1)=1,ИюнВс1-5,ИюнВс1+2)</f>
        <v>43249</v>
      </c>
      <c r="E4" s="10">
        <f>IF(DAY(ИюнВс1)=1,ИюнВс1-4,ИюнВс1+3)</f>
        <v>43250</v>
      </c>
      <c r="F4" s="10">
        <f>IF(DAY(ИюнВс1)=1,ИюнВс1-3,ИюнВс1+4)</f>
        <v>43251</v>
      </c>
      <c r="G4" s="10">
        <f>IF(DAY(ИюнВс1)=1,ИюнВс1-2,ИюнВс1+5)</f>
        <v>43252</v>
      </c>
      <c r="H4" s="10">
        <f>IF(DAY(ИюнВс1)=1,ИюнВс1-1,ИюнВс1+6)</f>
        <v>43253</v>
      </c>
      <c r="I4" s="10">
        <f>IF(DAY(ИюнВс1)=1,ИюнВс1,ИюнВс1+7)</f>
        <v>43254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IF(DAY(ИюнВс1)=1,ИюнВс1+1,ИюнВс1+8)</f>
        <v>43255</v>
      </c>
      <c r="D5" s="10">
        <f>IF(DAY(ИюнВс1)=1,ИюнВс1+2,ИюнВс1+9)</f>
        <v>43256</v>
      </c>
      <c r="E5" s="10">
        <f>IF(DAY(ИюнВс1)=1,ИюнВс1+3,ИюнВс1+10)</f>
        <v>43257</v>
      </c>
      <c r="F5" s="10">
        <f>IF(DAY(ИюнВс1)=1,ИюнВс1+4,ИюнВс1+11)</f>
        <v>43258</v>
      </c>
      <c r="G5" s="10">
        <f>IF(DAY(ИюнВс1)=1,ИюнВс1+5,ИюнВс1+12)</f>
        <v>43259</v>
      </c>
      <c r="H5" s="10">
        <f>IF(DAY(ИюнВс1)=1,ИюнВс1+6,ИюнВс1+13)</f>
        <v>43260</v>
      </c>
      <c r="I5" s="10">
        <f>IF(DAY(ИюнВс1)=1,ИюнВс1+7,ИюнВс1+14)</f>
        <v>43261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IF(DAY(ИюнВс1)=1,ИюнВс1+8,ИюнВс1+15)</f>
        <v>43262</v>
      </c>
      <c r="D6" s="10">
        <f>IF(DAY(ИюнВс1)=1,ИюнВс1+9,ИюнВс1+16)</f>
        <v>43263</v>
      </c>
      <c r="E6" s="10">
        <f>IF(DAY(ИюнВс1)=1,ИюнВс1+10,ИюнВс1+17)</f>
        <v>43264</v>
      </c>
      <c r="F6" s="10">
        <f>IF(DAY(ИюнВс1)=1,ИюнВс1+11,ИюнВс1+18)</f>
        <v>43265</v>
      </c>
      <c r="G6" s="10">
        <f>IF(DAY(ИюнВс1)=1,ИюнВс1+12,ИюнВс1+19)</f>
        <v>43266</v>
      </c>
      <c r="H6" s="10">
        <f>IF(DAY(ИюнВс1)=1,ИюнВс1+13,ИюнВс1+20)</f>
        <v>43267</v>
      </c>
      <c r="I6" s="10">
        <f>IF(DAY(ИюнВс1)=1,ИюнВс1+14,ИюнВс1+21)</f>
        <v>43268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IF(DAY(ИюнВс1)=1,ИюнВс1+15,ИюнВс1+22)</f>
        <v>43269</v>
      </c>
      <c r="D7" s="10">
        <f>IF(DAY(ИюнВс1)=1,ИюнВс1+16,ИюнВс1+23)</f>
        <v>43270</v>
      </c>
      <c r="E7" s="10">
        <f>IF(DAY(ИюнВс1)=1,ИюнВс1+17,ИюнВс1+24)</f>
        <v>43271</v>
      </c>
      <c r="F7" s="10">
        <f>IF(DAY(ИюнВс1)=1,ИюнВс1+18,ИюнВс1+25)</f>
        <v>43272</v>
      </c>
      <c r="G7" s="10">
        <f>IF(DAY(ИюнВс1)=1,ИюнВс1+19,ИюнВс1+26)</f>
        <v>43273</v>
      </c>
      <c r="H7" s="10">
        <f>IF(DAY(ИюнВс1)=1,ИюнВс1+20,ИюнВс1+27)</f>
        <v>43274</v>
      </c>
      <c r="I7" s="10">
        <f>IF(DAY(ИюнВс1)=1,ИюнВс1+21,ИюнВс1+28)</f>
        <v>43275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IF(DAY(ИюнВс1)=1,ИюнВс1+22,ИюнВс1+29)</f>
        <v>43276</v>
      </c>
      <c r="D8" s="10">
        <f>IF(DAY(ИюнВс1)=1,ИюнВс1+23,ИюнВс1+30)</f>
        <v>43277</v>
      </c>
      <c r="E8" s="10">
        <f>IF(DAY(ИюнВс1)=1,ИюнВс1+24,ИюнВс1+31)</f>
        <v>43278</v>
      </c>
      <c r="F8" s="10">
        <f>IF(DAY(ИюнВс1)=1,ИюнВс1+25,ИюнВс1+32)</f>
        <v>43279</v>
      </c>
      <c r="G8" s="10">
        <f>IF(DAY(ИюнВс1)=1,ИюнВс1+26,ИюнВс1+33)</f>
        <v>43280</v>
      </c>
      <c r="H8" s="10">
        <f>IF(DAY(ИюнВс1)=1,ИюнВс1+27,ИюнВс1+34)</f>
        <v>43281</v>
      </c>
      <c r="I8" s="10">
        <f>IF(DAY(ИюнВс1)=1,ИюнВс1+28,ИюнВс1+35)</f>
        <v>43282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IF(DAY(ИюнВс1)=1,ИюнВс1+29,ИюнВс1+36)</f>
        <v>43283</v>
      </c>
      <c r="D9" s="10">
        <f>IF(DAY(ИюнВс1)=1,ИюнВс1+30,ИюнВс1+37)</f>
        <v>43284</v>
      </c>
      <c r="E9" s="10">
        <f>IF(DAY(ИюнВс1)=1,ИюнВс1+31,ИюнВс1+38)</f>
        <v>43285</v>
      </c>
      <c r="F9" s="10">
        <f>IF(DAY(ИюнВс1)=1,ИюнВс1+32,ИюнВс1+39)</f>
        <v>43286</v>
      </c>
      <c r="G9" s="10">
        <f>IF(DAY(ИюнВс1)=1,ИюнВс1+33,ИюнВс1+40)</f>
        <v>43287</v>
      </c>
      <c r="H9" s="10">
        <f>IF(DAY(ИюнВс1)=1,ИюнВс1+34,ИюнВс1+41)</f>
        <v>43288</v>
      </c>
      <c r="I9" s="10">
        <f>IF(DAY(ИюнВс1)=1,ИюнВс1+35,ИюнВс1+42)</f>
        <v>43289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2" sqref="K4:K32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16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IF(DAY(ИюлВс1)=1,ИюлВс1-6,ИюлВс1+1)</f>
        <v>43276</v>
      </c>
      <c r="D4" s="10">
        <f>IF(DAY(ИюлВс1)=1,ИюлВс1-5,ИюлВс1+2)</f>
        <v>43277</v>
      </c>
      <c r="E4" s="10">
        <f>IF(DAY(ИюлВс1)=1,ИюлВс1-4,ИюлВс1+3)</f>
        <v>43278</v>
      </c>
      <c r="F4" s="10">
        <f>IF(DAY(ИюлВс1)=1,ИюлВс1-3,ИюлВс1+4)</f>
        <v>43279</v>
      </c>
      <c r="G4" s="10">
        <f>IF(DAY(ИюлВс1)=1,ИюлВс1-2,ИюлВс1+5)</f>
        <v>43280</v>
      </c>
      <c r="H4" s="10">
        <f>IF(DAY(ИюлВс1)=1,ИюлВс1-1,ИюлВс1+6)</f>
        <v>43281</v>
      </c>
      <c r="I4" s="10">
        <f>IF(DAY(ИюлВс1)=1,ИюлВс1,ИюлВс1+7)</f>
        <v>43282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IF(DAY(ИюлВс1)=1,ИюлВс1+1,ИюлВс1+8)</f>
        <v>43283</v>
      </c>
      <c r="D5" s="10">
        <f>IF(DAY(ИюлВс1)=1,ИюлВс1+2,ИюлВс1+9)</f>
        <v>43284</v>
      </c>
      <c r="E5" s="10">
        <f>IF(DAY(ИюлВс1)=1,ИюлВс1+3,ИюлВс1+10)</f>
        <v>43285</v>
      </c>
      <c r="F5" s="10">
        <f>IF(DAY(ИюлВс1)=1,ИюлВс1+4,ИюлВс1+11)</f>
        <v>43286</v>
      </c>
      <c r="G5" s="10">
        <f>IF(DAY(ИюлВс1)=1,ИюлВс1+5,ИюлВс1+12)</f>
        <v>43287</v>
      </c>
      <c r="H5" s="10">
        <f>IF(DAY(ИюлВс1)=1,ИюлВс1+6,ИюлВс1+13)</f>
        <v>43288</v>
      </c>
      <c r="I5" s="10">
        <f>IF(DAY(ИюлВс1)=1,ИюлВс1+7,ИюлВс1+14)</f>
        <v>43289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IF(DAY(ИюлВс1)=1,ИюлВс1+8,ИюлВс1+15)</f>
        <v>43290</v>
      </c>
      <c r="D6" s="10">
        <f>IF(DAY(ИюлВс1)=1,ИюлВс1+9,ИюлВс1+16)</f>
        <v>43291</v>
      </c>
      <c r="E6" s="10">
        <f>IF(DAY(ИюлВс1)=1,ИюлВс1+10,ИюлВс1+17)</f>
        <v>43292</v>
      </c>
      <c r="F6" s="10">
        <f>IF(DAY(ИюлВс1)=1,ИюлВс1+11,ИюлВс1+18)</f>
        <v>43293</v>
      </c>
      <c r="G6" s="10">
        <f>IF(DAY(ИюлВс1)=1,ИюлВс1+12,ИюлВс1+19)</f>
        <v>43294</v>
      </c>
      <c r="H6" s="10">
        <f>IF(DAY(ИюлВс1)=1,ИюлВс1+13,ИюлВс1+20)</f>
        <v>43295</v>
      </c>
      <c r="I6" s="10">
        <f>IF(DAY(ИюлВс1)=1,ИюлВс1+14,ИюлВс1+21)</f>
        <v>43296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IF(DAY(ИюлВс1)=1,ИюлВс1+15,ИюлВс1+22)</f>
        <v>43297</v>
      </c>
      <c r="D7" s="10">
        <f>IF(DAY(ИюлВс1)=1,ИюлВс1+16,ИюлВс1+23)</f>
        <v>43298</v>
      </c>
      <c r="E7" s="10">
        <f>IF(DAY(ИюлВс1)=1,ИюлВс1+17,ИюлВс1+24)</f>
        <v>43299</v>
      </c>
      <c r="F7" s="10">
        <f>IF(DAY(ИюлВс1)=1,ИюлВс1+18,ИюлВс1+25)</f>
        <v>43300</v>
      </c>
      <c r="G7" s="10">
        <f>IF(DAY(ИюлВс1)=1,ИюлВс1+19,ИюлВс1+26)</f>
        <v>43301</v>
      </c>
      <c r="H7" s="10">
        <f>IF(DAY(ИюлВс1)=1,ИюлВс1+20,ИюлВс1+27)</f>
        <v>43302</v>
      </c>
      <c r="I7" s="10">
        <f>IF(DAY(ИюлВс1)=1,ИюлВс1+21,ИюлВс1+28)</f>
        <v>43303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IF(DAY(ИюлВс1)=1,ИюлВс1+22,ИюлВс1+29)</f>
        <v>43304</v>
      </c>
      <c r="D8" s="10">
        <f>IF(DAY(ИюлВс1)=1,ИюлВс1+23,ИюлВс1+30)</f>
        <v>43305</v>
      </c>
      <c r="E8" s="10">
        <f>IF(DAY(ИюлВс1)=1,ИюлВс1+24,ИюлВс1+31)</f>
        <v>43306</v>
      </c>
      <c r="F8" s="10">
        <f>IF(DAY(ИюлВс1)=1,ИюлВс1+25,ИюлВс1+32)</f>
        <v>43307</v>
      </c>
      <c r="G8" s="10">
        <f>IF(DAY(ИюлВс1)=1,ИюлВс1+26,ИюлВс1+33)</f>
        <v>43308</v>
      </c>
      <c r="H8" s="10">
        <f>IF(DAY(ИюлВс1)=1,ИюлВс1+27,ИюлВс1+34)</f>
        <v>43309</v>
      </c>
      <c r="I8" s="10">
        <f>IF(DAY(ИюлВс1)=1,ИюлВс1+28,ИюлВс1+35)</f>
        <v>43310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IF(DAY(ИюлВс1)=1,ИюлВс1+29,ИюлВс1+36)</f>
        <v>43311</v>
      </c>
      <c r="D9" s="10">
        <f>IF(DAY(ИюлВс1)=1,ИюлВс1+30,ИюлВс1+37)</f>
        <v>43312</v>
      </c>
      <c r="E9" s="10">
        <f>IF(DAY(ИюлВс1)=1,ИюлВс1+31,ИюлВс1+38)</f>
        <v>43313</v>
      </c>
      <c r="F9" s="10">
        <f>IF(DAY(ИюлВс1)=1,ИюлВс1+32,ИюлВс1+39)</f>
        <v>43314</v>
      </c>
      <c r="G9" s="10">
        <f>IF(DAY(ИюлВс1)=1,ИюлВс1+33,ИюлВс1+40)</f>
        <v>43315</v>
      </c>
      <c r="H9" s="10">
        <f>IF(DAY(ИюлВс1)=1,ИюлВс1+34,ИюлВс1+41)</f>
        <v>43316</v>
      </c>
      <c r="I9" s="10">
        <f>IF(DAY(ИюлВс1)=1,ИюлВс1+35,ИюлВс1+42)</f>
        <v>43317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2" sqref="K4:K32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17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IF(DAY(АвгВс1)=1,АвгВс1-6,АвгВс1+1)</f>
        <v>43311</v>
      </c>
      <c r="D4" s="10">
        <f>IF(DAY(АвгВс1)=1,АвгВс1-5,АвгВс1+2)</f>
        <v>43312</v>
      </c>
      <c r="E4" s="10">
        <f>IF(DAY(АвгВс1)=1,АвгВс1-4,АвгВс1+3)</f>
        <v>43313</v>
      </c>
      <c r="F4" s="10">
        <f>IF(DAY(АвгВс1)=1,АвгВс1-3,АвгВс1+4)</f>
        <v>43314</v>
      </c>
      <c r="G4" s="10">
        <f>IF(DAY(АвгВс1)=1,АвгВс1-2,АвгВс1+5)</f>
        <v>43315</v>
      </c>
      <c r="H4" s="10">
        <f>IF(DAY(АвгВс1)=1,АвгВс1-1,АвгВс1+6)</f>
        <v>43316</v>
      </c>
      <c r="I4" s="10">
        <f>IF(DAY(АвгВс1)=1,АвгВс1,АвгВс1+7)</f>
        <v>43317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IF(DAY(АвгВс1)=1,АвгВс1+1,АвгВс1+8)</f>
        <v>43318</v>
      </c>
      <c r="D5" s="10">
        <f>IF(DAY(АвгВс1)=1,АвгВс1+2,АвгВс1+9)</f>
        <v>43319</v>
      </c>
      <c r="E5" s="10">
        <f>IF(DAY(АвгВс1)=1,АвгВс1+3,АвгВс1+10)</f>
        <v>43320</v>
      </c>
      <c r="F5" s="10">
        <f>IF(DAY(АвгВс1)=1,АвгВс1+4,АвгВс1+11)</f>
        <v>43321</v>
      </c>
      <c r="G5" s="10">
        <f>IF(DAY(АвгВс1)=1,АвгВс1+5,АвгВс1+12)</f>
        <v>43322</v>
      </c>
      <c r="H5" s="10">
        <f>IF(DAY(АвгВс1)=1,АвгВс1+6,АвгВс1+13)</f>
        <v>43323</v>
      </c>
      <c r="I5" s="10">
        <f>IF(DAY(АвгВс1)=1,АвгВс1+7,АвгВс1+14)</f>
        <v>43324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IF(DAY(АвгВс1)=1,АвгВс1+8,АвгВс1+15)</f>
        <v>43325</v>
      </c>
      <c r="D6" s="10">
        <f>IF(DAY(АвгВс1)=1,АвгВс1+9,АвгВс1+16)</f>
        <v>43326</v>
      </c>
      <c r="E6" s="10">
        <f>IF(DAY(АвгВс1)=1,АвгВс1+10,АвгВс1+17)</f>
        <v>43327</v>
      </c>
      <c r="F6" s="10">
        <f>IF(DAY(АвгВс1)=1,АвгВс1+11,АвгВс1+18)</f>
        <v>43328</v>
      </c>
      <c r="G6" s="10">
        <f>IF(DAY(АвгВс1)=1,АвгВс1+12,АвгВс1+19)</f>
        <v>43329</v>
      </c>
      <c r="H6" s="10">
        <f>IF(DAY(АвгВс1)=1,АвгВс1+13,АвгВс1+20)</f>
        <v>43330</v>
      </c>
      <c r="I6" s="10">
        <f>IF(DAY(АвгВс1)=1,АвгВс1+14,АвгВс1+21)</f>
        <v>43331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IF(DAY(АвгВс1)=1,АвгВс1+15,АвгВс1+22)</f>
        <v>43332</v>
      </c>
      <c r="D7" s="10">
        <f>IF(DAY(АвгВс1)=1,АвгВс1+16,АвгВс1+23)</f>
        <v>43333</v>
      </c>
      <c r="E7" s="10">
        <f>IF(DAY(АвгВс1)=1,АвгВс1+17,АвгВс1+24)</f>
        <v>43334</v>
      </c>
      <c r="F7" s="10">
        <f>IF(DAY(АвгВс1)=1,АвгВс1+18,АвгВс1+25)</f>
        <v>43335</v>
      </c>
      <c r="G7" s="10">
        <f>IF(DAY(АвгВс1)=1,АвгВс1+19,АвгВс1+26)</f>
        <v>43336</v>
      </c>
      <c r="H7" s="10">
        <f>IF(DAY(АвгВс1)=1,АвгВс1+20,АвгВс1+27)</f>
        <v>43337</v>
      </c>
      <c r="I7" s="10">
        <f>IF(DAY(АвгВс1)=1,АвгВс1+21,АвгВс1+28)</f>
        <v>43338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IF(DAY(АвгВс1)=1,АвгВс1+22,АвгВс1+29)</f>
        <v>43339</v>
      </c>
      <c r="D8" s="10">
        <f>IF(DAY(АвгВс1)=1,АвгВс1+23,АвгВс1+30)</f>
        <v>43340</v>
      </c>
      <c r="E8" s="10">
        <f>IF(DAY(АвгВс1)=1,АвгВс1+24,АвгВс1+31)</f>
        <v>43341</v>
      </c>
      <c r="F8" s="10">
        <f>IF(DAY(АвгВс1)=1,АвгВс1+25,АвгВс1+32)</f>
        <v>43342</v>
      </c>
      <c r="G8" s="10">
        <f>IF(DAY(АвгВс1)=1,АвгВс1+26,АвгВс1+33)</f>
        <v>43343</v>
      </c>
      <c r="H8" s="10">
        <f>IF(DAY(АвгВс1)=1,АвгВс1+27,АвгВс1+34)</f>
        <v>43344</v>
      </c>
      <c r="I8" s="10">
        <f>IF(DAY(АвгВс1)=1,АвгВс1+28,АвгВс1+35)</f>
        <v>43345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IF(DAY(АвгВс1)=1,АвгВс1+29,АвгВс1+36)</f>
        <v>43346</v>
      </c>
      <c r="D9" s="10">
        <f>IF(DAY(АвгВс1)=1,АвгВс1+30,АвгВс1+37)</f>
        <v>43347</v>
      </c>
      <c r="E9" s="10">
        <f>IF(DAY(АвгВс1)=1,АвгВс1+31,АвгВс1+38)</f>
        <v>43348</v>
      </c>
      <c r="F9" s="10">
        <f>IF(DAY(АвгВс1)=1,АвгВс1+32,АвгВс1+39)</f>
        <v>43349</v>
      </c>
      <c r="G9" s="10">
        <f>IF(DAY(АвгВс1)=1,АвгВс1+33,АвгВс1+40)</f>
        <v>43350</v>
      </c>
      <c r="H9" s="10">
        <f>IF(DAY(АвгВс1)=1,АвгВс1+34,АвгВс1+41)</f>
        <v>43351</v>
      </c>
      <c r="I9" s="10">
        <f>IF(DAY(АвгВс1)=1,АвгВс1+35,АвгВс1+42)</f>
        <v>43352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32" sqref="K4:K32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20</v>
      </c>
      <c r="L2" s="43">
        <v>2013</v>
      </c>
      <c r="M2" s="43"/>
      <c r="N2" s="79">
        <f>КалендарныйГод</f>
        <v>2018</v>
      </c>
    </row>
    <row r="3" spans="1:14" ht="21" customHeight="1">
      <c r="A3" s="4"/>
      <c r="B3" s="68" t="s">
        <v>18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>IF(DAY(СенВс1)=1,СенВс1-6,СенВс1+1)</f>
        <v>43339</v>
      </c>
      <c r="D4" s="10">
        <f>IF(DAY(СенВс1)=1,СенВс1-5,СенВс1+2)</f>
        <v>43340</v>
      </c>
      <c r="E4" s="10">
        <f>IF(DAY(СенВс1)=1,СенВс1-4,СенВс1+3)</f>
        <v>43341</v>
      </c>
      <c r="F4" s="10">
        <f>IF(DAY(СенВс1)=1,СенВс1-3,СенВс1+4)</f>
        <v>43342</v>
      </c>
      <c r="G4" s="10">
        <f>IF(DAY(СенВс1)=1,СенВс1-2,СенВс1+5)</f>
        <v>43343</v>
      </c>
      <c r="H4" s="10">
        <f>IF(DAY(СенВс1)=1,СенВс1-1,СенВс1+6)</f>
        <v>43344</v>
      </c>
      <c r="I4" s="10">
        <f>IF(DAY(СенВс1)=1,СенВс1,СенВс1+7)</f>
        <v>43345</v>
      </c>
      <c r="J4" s="5"/>
      <c r="K4" s="46"/>
      <c r="L4" s="16"/>
      <c r="M4" s="47"/>
      <c r="N4" s="48"/>
    </row>
    <row r="5" spans="1:14" ht="18" customHeight="1">
      <c r="A5" s="4"/>
      <c r="B5" s="28"/>
      <c r="C5" s="10">
        <f>IF(DAY(СенВс1)=1,СенВс1+1,СенВс1+8)</f>
        <v>43346</v>
      </c>
      <c r="D5" s="10">
        <f>IF(DAY(СенВс1)=1,СенВс1+2,СенВс1+9)</f>
        <v>43347</v>
      </c>
      <c r="E5" s="10">
        <f>IF(DAY(СенВс1)=1,СенВс1+3,СенВс1+10)</f>
        <v>43348</v>
      </c>
      <c r="F5" s="10">
        <f>IF(DAY(СенВс1)=1,СенВс1+4,СенВс1+11)</f>
        <v>43349</v>
      </c>
      <c r="G5" s="10">
        <f>IF(DAY(СенВс1)=1,СенВс1+5,СенВс1+12)</f>
        <v>43350</v>
      </c>
      <c r="H5" s="10">
        <f>IF(DAY(СенВс1)=1,СенВс1+6,СенВс1+13)</f>
        <v>43351</v>
      </c>
      <c r="I5" s="10">
        <f>IF(DAY(СенВс1)=1,СенВс1+7,СенВс1+14)</f>
        <v>43352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>IF(DAY(СенВс1)=1,СенВс1+8,СенВс1+15)</f>
        <v>43353</v>
      </c>
      <c r="D6" s="10">
        <f>IF(DAY(СенВс1)=1,СенВс1+9,СенВс1+16)</f>
        <v>43354</v>
      </c>
      <c r="E6" s="10">
        <f>IF(DAY(СенВс1)=1,СенВс1+10,СенВс1+17)</f>
        <v>43355</v>
      </c>
      <c r="F6" s="10">
        <f>IF(DAY(СенВс1)=1,СенВс1+11,СенВс1+18)</f>
        <v>43356</v>
      </c>
      <c r="G6" s="10">
        <f>IF(DAY(СенВс1)=1,СенВс1+12,СенВс1+19)</f>
        <v>43357</v>
      </c>
      <c r="H6" s="10">
        <f>IF(DAY(СенВс1)=1,СенВс1+13,СенВс1+20)</f>
        <v>43358</v>
      </c>
      <c r="I6" s="10">
        <f>IF(DAY(СенВс1)=1,СенВс1+14,СенВс1+21)</f>
        <v>43359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>IF(DAY(СенВс1)=1,СенВс1+15,СенВс1+22)</f>
        <v>43360</v>
      </c>
      <c r="D7" s="10">
        <f>IF(DAY(СенВс1)=1,СенВс1+16,СенВс1+23)</f>
        <v>43361</v>
      </c>
      <c r="E7" s="10">
        <f>IF(DAY(СенВс1)=1,СенВс1+17,СенВс1+24)</f>
        <v>43362</v>
      </c>
      <c r="F7" s="10">
        <f>IF(DAY(СенВс1)=1,СенВс1+18,СенВс1+25)</f>
        <v>43363</v>
      </c>
      <c r="G7" s="10">
        <f>IF(DAY(СенВс1)=1,СенВс1+19,СенВс1+26)</f>
        <v>43364</v>
      </c>
      <c r="H7" s="10">
        <f>IF(DAY(СенВс1)=1,СенВс1+20,СенВс1+27)</f>
        <v>43365</v>
      </c>
      <c r="I7" s="10">
        <f>IF(DAY(СенВс1)=1,СенВс1+21,СенВс1+28)</f>
        <v>43366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IF(DAY(СенВс1)=1,СенВс1+22,СенВс1+29)</f>
        <v>43367</v>
      </c>
      <c r="D8" s="10">
        <f>IF(DAY(СенВс1)=1,СенВс1+23,СенВс1+30)</f>
        <v>43368</v>
      </c>
      <c r="E8" s="10">
        <f>IF(DAY(СенВс1)=1,СенВс1+24,СенВс1+31)</f>
        <v>43369</v>
      </c>
      <c r="F8" s="10">
        <f>IF(DAY(СенВс1)=1,СенВс1+25,СенВс1+32)</f>
        <v>43370</v>
      </c>
      <c r="G8" s="10">
        <f>IF(DAY(СенВс1)=1,СенВс1+26,СенВс1+33)</f>
        <v>43371</v>
      </c>
      <c r="H8" s="10">
        <f>IF(DAY(СенВс1)=1,СенВс1+27,СенВс1+34)</f>
        <v>43372</v>
      </c>
      <c r="I8" s="10">
        <f>IF(DAY(СенВс1)=1,СенВс1+28,СенВс1+35)</f>
        <v>43373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IF(DAY(СенВс1)=1,СенВс1+29,СенВс1+36)</f>
        <v>43374</v>
      </c>
      <c r="D9" s="10">
        <f>IF(DAY(СенВс1)=1,СенВс1+30,СенВс1+37)</f>
        <v>43375</v>
      </c>
      <c r="E9" s="10">
        <f>IF(DAY(СенВс1)=1,СенВс1+31,СенВс1+38)</f>
        <v>43376</v>
      </c>
      <c r="F9" s="10">
        <f>IF(DAY(СенВс1)=1,СенВс1+32,СенВс1+39)</f>
        <v>43377</v>
      </c>
      <c r="G9" s="10">
        <f>IF(DAY(СенВс1)=1,СенВс1+33,СенВс1+40)</f>
        <v>43378</v>
      </c>
      <c r="H9" s="10">
        <f>IF(DAY(СенВс1)=1,СенВс1+34,СенВс1+41)</f>
        <v>43379</v>
      </c>
      <c r="I9" s="10">
        <f>IF(DAY(СенВс1)=1,СенВс1+35,СенВс1+42)</f>
        <v>43380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/>
      <c r="L10" s="16"/>
      <c r="M10" s="37"/>
      <c r="N10" s="38"/>
    </row>
    <row r="11" spans="1:14" ht="18" customHeight="1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2</v>
      </c>
      <c r="C13" s="39" t="s">
        <v>3</v>
      </c>
      <c r="D13" s="41"/>
      <c r="E13" s="39" t="s">
        <v>4</v>
      </c>
      <c r="F13" s="41"/>
      <c r="G13" s="39" t="s">
        <v>5</v>
      </c>
      <c r="H13" s="41"/>
      <c r="I13" s="39" t="s">
        <v>6</v>
      </c>
      <c r="J13" s="40"/>
      <c r="K13" s="11"/>
      <c r="L13" s="17"/>
      <c r="M13" s="33"/>
      <c r="N13" s="34"/>
    </row>
    <row r="14" spans="2:14" ht="18" customHeight="1">
      <c r="B14" s="8"/>
      <c r="C14" s="53"/>
      <c r="D14" s="54"/>
      <c r="E14" s="53"/>
      <c r="F14" s="54"/>
      <c r="G14" s="53"/>
      <c r="H14" s="54"/>
      <c r="I14" s="53"/>
      <c r="J14" s="62"/>
      <c r="K14" s="11"/>
      <c r="L14" s="17"/>
      <c r="M14" s="33"/>
      <c r="N14" s="34"/>
    </row>
    <row r="15" spans="2:14" ht="18" customHeight="1">
      <c r="B15" s="6"/>
      <c r="C15" s="51"/>
      <c r="D15" s="52"/>
      <c r="E15" s="51"/>
      <c r="F15" s="52"/>
      <c r="G15" s="51"/>
      <c r="H15" s="52"/>
      <c r="I15" s="59"/>
      <c r="J15" s="60"/>
      <c r="K15" s="13"/>
      <c r="L15" s="19"/>
      <c r="M15" s="35"/>
      <c r="N15" s="36"/>
    </row>
    <row r="16" spans="2:14" ht="18" customHeight="1">
      <c r="B16" s="8"/>
      <c r="C16" s="53"/>
      <c r="D16" s="54"/>
      <c r="E16" s="53"/>
      <c r="F16" s="54"/>
      <c r="G16" s="53"/>
      <c r="H16" s="54"/>
      <c r="I16" s="63"/>
      <c r="J16" s="64"/>
      <c r="K16" s="31"/>
      <c r="L16" s="16"/>
      <c r="M16" s="37"/>
      <c r="N16" s="38"/>
    </row>
    <row r="17" spans="2:14" ht="18" customHeight="1">
      <c r="B17" s="6"/>
      <c r="C17" s="51"/>
      <c r="D17" s="52"/>
      <c r="E17" s="51"/>
      <c r="F17" s="52"/>
      <c r="G17" s="51"/>
      <c r="H17" s="52"/>
      <c r="I17" s="59"/>
      <c r="J17" s="60"/>
      <c r="K17" s="32"/>
      <c r="L17" s="17"/>
      <c r="M17" s="33"/>
      <c r="N17" s="34"/>
    </row>
    <row r="18" spans="2:14" ht="18" customHeight="1">
      <c r="B18" s="9"/>
      <c r="C18" s="55"/>
      <c r="D18" s="56"/>
      <c r="E18" s="55"/>
      <c r="F18" s="56"/>
      <c r="G18" s="55"/>
      <c r="H18" s="56"/>
      <c r="I18" s="55"/>
      <c r="J18" s="61"/>
      <c r="K18" s="32"/>
      <c r="L18" s="17"/>
      <c r="M18" s="33"/>
      <c r="N18" s="34"/>
    </row>
    <row r="19" spans="2:14" ht="18" customHeight="1">
      <c r="B19" s="6"/>
      <c r="C19" s="51"/>
      <c r="D19" s="52"/>
      <c r="E19" s="51"/>
      <c r="F19" s="52"/>
      <c r="G19" s="51"/>
      <c r="H19" s="52"/>
      <c r="I19" s="59"/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/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/>
      <c r="C26" s="53"/>
      <c r="D26" s="54"/>
      <c r="E26" s="53"/>
      <c r="F26" s="54"/>
      <c r="G26" s="53"/>
      <c r="H26" s="54"/>
      <c r="I26" s="53"/>
      <c r="J26" s="62"/>
      <c r="K26" s="11"/>
      <c r="L26" s="17"/>
      <c r="M26" s="33"/>
      <c r="N26" s="34"/>
    </row>
    <row r="27" spans="2:14" ht="18" customHeight="1">
      <c r="B27" s="6"/>
      <c r="C27" s="51"/>
      <c r="D27" s="52"/>
      <c r="E27" s="51"/>
      <c r="F27" s="52"/>
      <c r="G27" s="51"/>
      <c r="H27" s="52"/>
      <c r="I27" s="59"/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/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/>
      <c r="D30" s="54"/>
      <c r="E30" s="53"/>
      <c r="F30" s="54"/>
      <c r="G30" s="53"/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/>
      <c r="D31" s="52"/>
      <c r="E31" s="51"/>
      <c r="F31" s="52"/>
      <c r="G31" s="51"/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sheetProtection/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Windows User</cp:lastModifiedBy>
  <dcterms:created xsi:type="dcterms:W3CDTF">2013-11-22T23:21:45Z</dcterms:created>
  <dcterms:modified xsi:type="dcterms:W3CDTF">2017-08-20T12:51:49Z</dcterms:modified>
  <cp:category/>
  <cp:version/>
  <cp:contentType/>
  <cp:contentStatus/>
</cp:coreProperties>
</file>